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F771KZ\Documents\SIZP\Final\"/>
    </mc:Choice>
  </mc:AlternateContent>
  <bookViews>
    <workbookView xWindow="0" yWindow="0" windowWidth="23040" windowHeight="9372" tabRatio="618"/>
  </bookViews>
  <sheets>
    <sheet name="Úvod" sheetId="5" r:id="rId1"/>
    <sheet name="Zoznam hárkov" sheetId="25" r:id="rId2"/>
    <sheet name="Sumarizácia" sheetId="20" r:id="rId3"/>
    <sheet name="CBA - Agendové IS" sheetId="2" r:id="rId4"/>
    <sheet name="Návratnosť v rokoch" sheetId="31" r:id="rId5"/>
    <sheet name="Analyza citlivosti - AgendovéIS" sheetId="7" r:id="rId6"/>
    <sheet name="Prínosy - Agendové IS" sheetId="4" r:id="rId7"/>
    <sheet name="Výdavky - Agendové IS" sheetId="6" r:id="rId8"/>
    <sheet name="Parametre - Agendové IS" sheetId="3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Rozpočet - vývoj Aplikácií" sheetId="19" r:id="rId15"/>
    <sheet name="Rozpočet - HW a licencie" sheetId="27" r:id="rId16"/>
    <sheet name="Slepý rozpočet" sheetId="26" r:id="rId17"/>
    <sheet name="Faktory" sheetId="1" r:id="rId18"/>
    <sheet name="Procesné mapy" sheetId="22" r:id="rId19"/>
    <sheet name="Procesy - AS IS" sheetId="23" r:id="rId20"/>
    <sheet name="Procesy - ∆" sheetId="33" r:id="rId21"/>
    <sheet name="Procesy - TO BE" sheetId="24" r:id="rId22"/>
    <sheet name="Optimalizačné opatrenia" sheetId="32" r:id="rId23"/>
    <sheet name="Rozdelenie prínosov" sheetId="14" r:id="rId24"/>
    <sheet name="Počet inšpektorov" sheetId="34" r:id="rId25"/>
    <sheet name="Štatistika meraní" sheetId="35" r:id="rId26"/>
  </sheets>
  <definedNames>
    <definedName name="_xlnm._FilterDatabase" localSheetId="16" hidden="1">'Slepý rozpočet'!#REF!</definedName>
    <definedName name="_xlnm._FilterDatabase" localSheetId="12" hidden="1">'TCO TO BE- SW'!$G$1:$G$170</definedName>
    <definedName name="Zvysenie__ZvyseniePerc" localSheetId="20">#REF!</definedName>
    <definedName name="Zvysenie__ZvyseniePer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1" l="1"/>
  <c r="L15" i="11"/>
  <c r="K15" i="11"/>
  <c r="J15" i="11"/>
  <c r="I15" i="11"/>
  <c r="H15" i="11"/>
  <c r="G15" i="11"/>
  <c r="F15" i="11"/>
  <c r="E15" i="11"/>
  <c r="D15" i="11"/>
  <c r="C16" i="11"/>
  <c r="K80" i="9" l="1"/>
  <c r="G80" i="9"/>
  <c r="E36" i="17" l="1"/>
  <c r="AH17" i="19"/>
  <c r="AH15" i="19"/>
  <c r="AH14" i="19"/>
  <c r="AH13" i="19"/>
  <c r="AH12" i="19"/>
  <c r="AH11" i="19"/>
  <c r="AH9" i="19"/>
  <c r="AH8" i="19"/>
  <c r="AH7" i="19"/>
  <c r="AH6" i="19"/>
  <c r="AH5" i="19"/>
  <c r="D7" i="27"/>
  <c r="D6" i="27"/>
  <c r="D5" i="27"/>
  <c r="D4" i="27"/>
  <c r="D3" i="27"/>
  <c r="V19" i="33" l="1"/>
  <c r="R19" i="33"/>
  <c r="P19" i="33"/>
  <c r="N19" i="33"/>
  <c r="G19" i="33"/>
  <c r="F19" i="33"/>
  <c r="E19" i="33"/>
  <c r="Q4" i="4" l="1"/>
  <c r="R4" i="4"/>
  <c r="Q5" i="4"/>
  <c r="Q6" i="4"/>
  <c r="Q7" i="4"/>
  <c r="Q8" i="4"/>
  <c r="Q9" i="4"/>
  <c r="Q10" i="4"/>
  <c r="Q11" i="4"/>
  <c r="Q12" i="4"/>
  <c r="Q13" i="4"/>
  <c r="Q146" i="3"/>
  <c r="P146" i="3"/>
  <c r="R146" i="3" s="1"/>
  <c r="N146" i="3"/>
  <c r="O146" i="3" s="1"/>
  <c r="M146" i="3"/>
  <c r="K146" i="3"/>
  <c r="L146" i="3" s="1"/>
  <c r="J146" i="3"/>
  <c r="R145" i="3"/>
  <c r="Q145" i="3"/>
  <c r="P145" i="3"/>
  <c r="N145" i="3"/>
  <c r="O145" i="3" s="1"/>
  <c r="M145" i="3"/>
  <c r="K145" i="3"/>
  <c r="L145" i="3" s="1"/>
  <c r="J145" i="3"/>
  <c r="Q144" i="3"/>
  <c r="R144" i="3" s="1"/>
  <c r="P144" i="3"/>
  <c r="N144" i="3"/>
  <c r="O144" i="3" s="1"/>
  <c r="M144" i="3"/>
  <c r="K144" i="3"/>
  <c r="L144" i="3" s="1"/>
  <c r="J144" i="3"/>
  <c r="Q143" i="3"/>
  <c r="R143" i="3" s="1"/>
  <c r="P143" i="3"/>
  <c r="N143" i="3"/>
  <c r="M143" i="3"/>
  <c r="O143" i="3" s="1"/>
  <c r="K143" i="3"/>
  <c r="L143" i="3" s="1"/>
  <c r="J143" i="3"/>
  <c r="Q142" i="3"/>
  <c r="R142" i="3" s="1"/>
  <c r="P142" i="3"/>
  <c r="O142" i="3"/>
  <c r="N142" i="3"/>
  <c r="M142" i="3"/>
  <c r="K142" i="3"/>
  <c r="L142" i="3" s="1"/>
  <c r="J142" i="3"/>
  <c r="Q141" i="3"/>
  <c r="R141" i="3" s="1"/>
  <c r="P141" i="3"/>
  <c r="N141" i="3"/>
  <c r="O141" i="3" s="1"/>
  <c r="M141" i="3"/>
  <c r="K141" i="3"/>
  <c r="L141" i="3" s="1"/>
  <c r="J141" i="3"/>
  <c r="Q140" i="3"/>
  <c r="R140" i="3" s="1"/>
  <c r="P140" i="3"/>
  <c r="N140" i="3"/>
  <c r="O140" i="3" s="1"/>
  <c r="M140" i="3"/>
  <c r="K140" i="3"/>
  <c r="J140" i="3"/>
  <c r="L140" i="3" s="1"/>
  <c r="Q139" i="3"/>
  <c r="R139" i="3" s="1"/>
  <c r="P139" i="3"/>
  <c r="N139" i="3"/>
  <c r="O139" i="3" s="1"/>
  <c r="M139" i="3"/>
  <c r="L139" i="3"/>
  <c r="K139" i="3"/>
  <c r="J139" i="3"/>
  <c r="Q138" i="3"/>
  <c r="P138" i="3"/>
  <c r="R138" i="3" s="1"/>
  <c r="N138" i="3"/>
  <c r="O138" i="3" s="1"/>
  <c r="M138" i="3"/>
  <c r="K138" i="3"/>
  <c r="L138" i="3" s="1"/>
  <c r="J138" i="3"/>
  <c r="R137" i="3"/>
  <c r="Q137" i="3"/>
  <c r="P137" i="3"/>
  <c r="N137" i="3"/>
  <c r="O137" i="3" s="1"/>
  <c r="M137" i="3"/>
  <c r="K137" i="3"/>
  <c r="L137" i="3" s="1"/>
  <c r="J137" i="3"/>
  <c r="R65" i="3" l="1"/>
  <c r="O65" i="3"/>
  <c r="L65" i="3"/>
  <c r="R64" i="3"/>
  <c r="O64" i="3"/>
  <c r="L64" i="3"/>
  <c r="R63" i="3"/>
  <c r="O63" i="3"/>
  <c r="L63" i="3"/>
  <c r="R62" i="3"/>
  <c r="O62" i="3"/>
  <c r="L62" i="3"/>
  <c r="R61" i="3"/>
  <c r="O61" i="3"/>
  <c r="L61" i="3"/>
  <c r="R60" i="3"/>
  <c r="O60" i="3"/>
  <c r="L60" i="3"/>
  <c r="R59" i="3"/>
  <c r="O59" i="3"/>
  <c r="L59" i="3"/>
  <c r="R58" i="3"/>
  <c r="O58" i="3"/>
  <c r="L58" i="3"/>
  <c r="R57" i="3"/>
  <c r="O57" i="3"/>
  <c r="L57" i="3"/>
  <c r="R56" i="3"/>
  <c r="O56" i="3"/>
  <c r="L56" i="3"/>
  <c r="V62" i="33" l="1"/>
  <c r="AA62" i="33" s="1"/>
  <c r="P62" i="33"/>
  <c r="G62" i="33"/>
  <c r="AB62" i="33" s="1"/>
  <c r="V48" i="33"/>
  <c r="AA48" i="33" s="1"/>
  <c r="P48" i="33"/>
  <c r="D48" i="33"/>
  <c r="G48" i="33" s="1"/>
  <c r="U62" i="33" s="1"/>
  <c r="V34" i="33"/>
  <c r="AA34" i="33" s="1"/>
  <c r="P34" i="33"/>
  <c r="G34" i="33"/>
  <c r="AC34" i="33" s="1"/>
  <c r="AB20" i="33"/>
  <c r="AA20" i="33"/>
  <c r="X20" i="33"/>
  <c r="W20" i="33"/>
  <c r="U20" i="33"/>
  <c r="AC20" i="33" s="1"/>
  <c r="Q20" i="33"/>
  <c r="F62" i="33" s="1"/>
  <c r="T48" i="33" l="1"/>
  <c r="R62" i="33"/>
  <c r="S62" i="33" s="1"/>
  <c r="Q62" i="33"/>
  <c r="R34" i="33"/>
  <c r="Y34" i="33" s="1"/>
  <c r="Z48" i="33"/>
  <c r="Q48" i="33"/>
  <c r="W62" i="33"/>
  <c r="X62" i="33"/>
  <c r="X48" i="33"/>
  <c r="W48" i="33"/>
  <c r="N48" i="33"/>
  <c r="U48" i="33"/>
  <c r="W34" i="33"/>
  <c r="X34" i="33"/>
  <c r="Q34" i="33"/>
  <c r="AB34" i="33"/>
  <c r="U34" i="33"/>
  <c r="T20" i="33"/>
  <c r="Y20" i="33"/>
  <c r="S20" i="33"/>
  <c r="Z20" i="33"/>
  <c r="S34" i="33" l="1"/>
  <c r="T62" i="33"/>
  <c r="AC62" i="33"/>
  <c r="Y62" i="33"/>
  <c r="T34" i="33"/>
  <c r="R48" i="33"/>
  <c r="Z34" i="33"/>
  <c r="Z62" i="33"/>
  <c r="P78" i="33"/>
  <c r="Q78" i="33"/>
  <c r="R78" i="33"/>
  <c r="Y78" i="33" s="1"/>
  <c r="V78" i="33"/>
  <c r="AA78" i="33" s="1"/>
  <c r="W78" i="33"/>
  <c r="X78" i="33"/>
  <c r="AC78" i="33" l="1"/>
  <c r="S78" i="33"/>
  <c r="S48" i="33"/>
  <c r="AB48" i="33"/>
  <c r="Y48" i="33"/>
  <c r="AC48" i="33"/>
  <c r="Z78" i="33"/>
  <c r="T78" i="33"/>
  <c r="K81" i="9" l="1"/>
  <c r="G81" i="9"/>
  <c r="F24" i="14"/>
  <c r="A16" i="35" l="1"/>
  <c r="A15" i="35"/>
  <c r="A18" i="35"/>
  <c r="A17" i="35"/>
  <c r="A13" i="35"/>
  <c r="A10" i="35"/>
  <c r="A2" i="35"/>
  <c r="A3" i="35"/>
  <c r="A5" i="35"/>
  <c r="A11" i="35"/>
  <c r="A6" i="35"/>
  <c r="A4" i="35"/>
  <c r="A21" i="35"/>
  <c r="A14" i="35"/>
  <c r="A7" i="35"/>
  <c r="A12" i="35"/>
  <c r="A19" i="35"/>
  <c r="A8" i="35"/>
  <c r="A9" i="35"/>
  <c r="A20" i="35"/>
  <c r="AH2" i="24" l="1"/>
  <c r="AG2" i="24"/>
  <c r="AF2" i="24"/>
  <c r="AE2" i="24"/>
  <c r="AC2" i="24"/>
  <c r="G2" i="24"/>
  <c r="C35" i="24"/>
  <c r="B35" i="24"/>
  <c r="C34" i="24"/>
  <c r="B34" i="24"/>
  <c r="C32" i="24"/>
  <c r="B32" i="24"/>
  <c r="C31" i="24"/>
  <c r="B31" i="24"/>
  <c r="C30" i="24"/>
  <c r="B30" i="24"/>
  <c r="C29" i="24"/>
  <c r="B29" i="24"/>
  <c r="C27" i="24"/>
  <c r="B27" i="24"/>
  <c r="C26" i="24"/>
  <c r="B26" i="24"/>
  <c r="C25" i="24"/>
  <c r="B25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6" i="24"/>
  <c r="B16" i="24"/>
  <c r="C15" i="24"/>
  <c r="B15" i="24"/>
  <c r="C14" i="24"/>
  <c r="B14" i="24"/>
  <c r="C13" i="24"/>
  <c r="B13" i="24"/>
  <c r="C12" i="24"/>
  <c r="B12" i="24"/>
  <c r="C9" i="24"/>
  <c r="B9" i="24"/>
  <c r="C8" i="24"/>
  <c r="B8" i="24"/>
  <c r="C7" i="24"/>
  <c r="B7" i="24"/>
  <c r="C6" i="24"/>
  <c r="B6" i="24"/>
  <c r="C2" i="24"/>
  <c r="C282" i="33"/>
  <c r="B267" i="33"/>
  <c r="B253" i="33"/>
  <c r="C238" i="33"/>
  <c r="B223" i="33"/>
  <c r="C208" i="33"/>
  <c r="B193" i="33"/>
  <c r="B179" i="33"/>
  <c r="B165" i="33"/>
  <c r="B151" i="33"/>
  <c r="C136" i="33"/>
  <c r="B121" i="33"/>
  <c r="B107" i="33"/>
  <c r="B93" i="33"/>
  <c r="B79" i="33"/>
  <c r="B65" i="33"/>
  <c r="B49" i="33"/>
  <c r="B35" i="33"/>
  <c r="B21" i="33"/>
  <c r="AD2" i="33"/>
  <c r="AD2" i="24" s="1"/>
  <c r="AC2" i="33"/>
  <c r="AB2" i="33"/>
  <c r="AB2" i="24" s="1"/>
  <c r="AA2" i="33"/>
  <c r="AA2" i="24" s="1"/>
  <c r="Z2" i="33"/>
  <c r="Z2" i="24" s="1"/>
  <c r="Y2" i="33"/>
  <c r="Y2" i="24" s="1"/>
  <c r="X2" i="33"/>
  <c r="X2" i="24" s="1"/>
  <c r="W2" i="33"/>
  <c r="W2" i="24" s="1"/>
  <c r="V2" i="33"/>
  <c r="V2" i="24" s="1"/>
  <c r="U2" i="33"/>
  <c r="U2" i="24" s="1"/>
  <c r="T2" i="33"/>
  <c r="T2" i="24" s="1"/>
  <c r="S2" i="33"/>
  <c r="S2" i="24" s="1"/>
  <c r="R2" i="33"/>
  <c r="R2" i="24" s="1"/>
  <c r="Q2" i="33"/>
  <c r="Q2" i="24" s="1"/>
  <c r="P2" i="33"/>
  <c r="P2" i="24" s="1"/>
  <c r="O2" i="33"/>
  <c r="O2" i="24" s="1"/>
  <c r="N2" i="33"/>
  <c r="N2" i="24" s="1"/>
  <c r="M2" i="33"/>
  <c r="M2" i="24" s="1"/>
  <c r="L2" i="33"/>
  <c r="L2" i="24" s="1"/>
  <c r="K2" i="33"/>
  <c r="K2" i="24" s="1"/>
  <c r="J2" i="33"/>
  <c r="J2" i="24" s="1"/>
  <c r="I2" i="33"/>
  <c r="I2" i="24" s="1"/>
  <c r="H2" i="33"/>
  <c r="H2" i="24" s="1"/>
  <c r="G2" i="33"/>
  <c r="F2" i="33"/>
  <c r="F2" i="24" s="1"/>
  <c r="E2" i="33"/>
  <c r="E2" i="24" s="1"/>
  <c r="D2" i="33"/>
  <c r="D2" i="24" s="1"/>
  <c r="M283" i="33"/>
  <c r="M35" i="24" s="1"/>
  <c r="B283" i="33"/>
  <c r="B282" i="33"/>
  <c r="B239" i="33"/>
  <c r="B238" i="33"/>
  <c r="M209" i="33"/>
  <c r="M26" i="24" s="1"/>
  <c r="B209" i="33"/>
  <c r="B208" i="33"/>
  <c r="B137" i="33"/>
  <c r="B136" i="33"/>
  <c r="B6" i="33"/>
  <c r="C283" i="33" l="1"/>
  <c r="C267" i="33"/>
  <c r="C253" i="33"/>
  <c r="C239" i="33"/>
  <c r="C223" i="33"/>
  <c r="C209" i="33"/>
  <c r="C193" i="33"/>
  <c r="C179" i="33"/>
  <c r="C165" i="33"/>
  <c r="C151" i="33"/>
  <c r="C137" i="33"/>
  <c r="C121" i="33"/>
  <c r="C107" i="33"/>
  <c r="C93" i="33"/>
  <c r="C79" i="33"/>
  <c r="C65" i="33"/>
  <c r="C49" i="33"/>
  <c r="C35" i="33"/>
  <c r="C21" i="33"/>
  <c r="C6" i="33"/>
  <c r="V296" i="33" l="1"/>
  <c r="F296" i="33"/>
  <c r="V295" i="33"/>
  <c r="AA295" i="33" s="1"/>
  <c r="R295" i="33"/>
  <c r="Z295" i="33" s="1"/>
  <c r="F295" i="33"/>
  <c r="V294" i="33"/>
  <c r="AA294" i="33" s="1"/>
  <c r="F294" i="33"/>
  <c r="V293" i="33"/>
  <c r="AA293" i="33" s="1"/>
  <c r="F293" i="33"/>
  <c r="V292" i="33"/>
  <c r="AA292" i="33" s="1"/>
  <c r="F292" i="33"/>
  <c r="V291" i="33"/>
  <c r="AA291" i="33" s="1"/>
  <c r="F291" i="33"/>
  <c r="V290" i="33"/>
  <c r="AA290" i="33" s="1"/>
  <c r="F290" i="33"/>
  <c r="V289" i="33"/>
  <c r="AA289" i="33" s="1"/>
  <c r="F289" i="33"/>
  <c r="V288" i="33"/>
  <c r="AA288" i="33" s="1"/>
  <c r="F288" i="33"/>
  <c r="V287" i="33"/>
  <c r="AA287" i="33" s="1"/>
  <c r="F287" i="33"/>
  <c r="V286" i="33"/>
  <c r="AA286" i="33" s="1"/>
  <c r="F286" i="33"/>
  <c r="V285" i="33"/>
  <c r="AA285" i="33" s="1"/>
  <c r="F285" i="33"/>
  <c r="V284" i="33"/>
  <c r="AA284" i="33" s="1"/>
  <c r="F284" i="33"/>
  <c r="E280" i="33"/>
  <c r="E279" i="33"/>
  <c r="E278" i="33"/>
  <c r="E277" i="33"/>
  <c r="E276" i="33"/>
  <c r="E275" i="33"/>
  <c r="E274" i="33"/>
  <c r="E273" i="33"/>
  <c r="E272" i="33"/>
  <c r="E271" i="33"/>
  <c r="E270" i="33"/>
  <c r="E269" i="33"/>
  <c r="E268" i="33"/>
  <c r="N266" i="33"/>
  <c r="N280" i="33" s="1"/>
  <c r="M266" i="33"/>
  <c r="M280" i="33" s="1"/>
  <c r="E266" i="33"/>
  <c r="N265" i="33"/>
  <c r="N279" i="33" s="1"/>
  <c r="M265" i="33"/>
  <c r="M279" i="33" s="1"/>
  <c r="E265" i="33"/>
  <c r="N264" i="33"/>
  <c r="N278" i="33" s="1"/>
  <c r="M264" i="33"/>
  <c r="M278" i="33" s="1"/>
  <c r="E264" i="33"/>
  <c r="N263" i="33"/>
  <c r="N277" i="33" s="1"/>
  <c r="M263" i="33"/>
  <c r="M277" i="33" s="1"/>
  <c r="E263" i="33"/>
  <c r="N262" i="33"/>
  <c r="N276" i="33" s="1"/>
  <c r="M262" i="33"/>
  <c r="M276" i="33" s="1"/>
  <c r="E262" i="33"/>
  <c r="N261" i="33"/>
  <c r="N275" i="33" s="1"/>
  <c r="M261" i="33"/>
  <c r="M275" i="33" s="1"/>
  <c r="E261" i="33"/>
  <c r="N260" i="33"/>
  <c r="N274" i="33" s="1"/>
  <c r="M260" i="33"/>
  <c r="M274" i="33" s="1"/>
  <c r="E260" i="33"/>
  <c r="N259" i="33"/>
  <c r="N273" i="33" s="1"/>
  <c r="M259" i="33"/>
  <c r="M273" i="33" s="1"/>
  <c r="E259" i="33"/>
  <c r="N258" i="33"/>
  <c r="N272" i="33" s="1"/>
  <c r="M258" i="33"/>
  <c r="M272" i="33" s="1"/>
  <c r="E258" i="33"/>
  <c r="N257" i="33"/>
  <c r="N271" i="33" s="1"/>
  <c r="M257" i="33"/>
  <c r="M271" i="33" s="1"/>
  <c r="E257" i="33"/>
  <c r="N256" i="33"/>
  <c r="N270" i="33" s="1"/>
  <c r="M256" i="33"/>
  <c r="M270" i="33" s="1"/>
  <c r="E256" i="33"/>
  <c r="N255" i="33"/>
  <c r="N269" i="33" s="1"/>
  <c r="M255" i="33"/>
  <c r="M269" i="33" s="1"/>
  <c r="E255" i="33"/>
  <c r="N254" i="33"/>
  <c r="N268" i="33" s="1"/>
  <c r="M254" i="33"/>
  <c r="M268" i="33" s="1"/>
  <c r="E254" i="33"/>
  <c r="V252" i="33"/>
  <c r="V239" i="33" s="1"/>
  <c r="V30" i="24" s="1"/>
  <c r="V251" i="33"/>
  <c r="R251" i="33"/>
  <c r="V250" i="33"/>
  <c r="V264" i="33" s="1"/>
  <c r="AA264" i="33" s="1"/>
  <c r="R250" i="33"/>
  <c r="V249" i="33"/>
  <c r="V277" i="33" s="1"/>
  <c r="AA277" i="33" s="1"/>
  <c r="R249" i="33"/>
  <c r="Z249" i="33" s="1"/>
  <c r="V248" i="33"/>
  <c r="R248" i="33"/>
  <c r="T276" i="33" s="1"/>
  <c r="V247" i="33"/>
  <c r="R247" i="33"/>
  <c r="V246" i="33"/>
  <c r="V260" i="33" s="1"/>
  <c r="AA260" i="33" s="1"/>
  <c r="R246" i="33"/>
  <c r="AC246" i="33" s="1"/>
  <c r="V245" i="33"/>
  <c r="AA245" i="33" s="1"/>
  <c r="R245" i="33"/>
  <c r="V244" i="33"/>
  <c r="V272" i="33" s="1"/>
  <c r="AA272" i="33" s="1"/>
  <c r="R244" i="33"/>
  <c r="Z244" i="33" s="1"/>
  <c r="V243" i="33"/>
  <c r="V257" i="33" s="1"/>
  <c r="AA257" i="33" s="1"/>
  <c r="R243" i="33"/>
  <c r="S243" i="33" s="1"/>
  <c r="V242" i="33"/>
  <c r="V270" i="33" s="1"/>
  <c r="AA270" i="33" s="1"/>
  <c r="R242" i="33"/>
  <c r="Z242" i="33" s="1"/>
  <c r="V241" i="33"/>
  <c r="V255" i="33" s="1"/>
  <c r="AA255" i="33" s="1"/>
  <c r="R241" i="33"/>
  <c r="V240" i="33"/>
  <c r="R240" i="33"/>
  <c r="T240" i="33" s="1"/>
  <c r="V222" i="33"/>
  <c r="V221" i="33"/>
  <c r="V235" i="33" s="1"/>
  <c r="AA235" i="33" s="1"/>
  <c r="V220" i="33"/>
  <c r="V234" i="33" s="1"/>
  <c r="AA234" i="33" s="1"/>
  <c r="V219" i="33"/>
  <c r="V233" i="33" s="1"/>
  <c r="AA233" i="33" s="1"/>
  <c r="V218" i="33"/>
  <c r="V232" i="33" s="1"/>
  <c r="AA232" i="33" s="1"/>
  <c r="V217" i="33"/>
  <c r="V216" i="33"/>
  <c r="V230" i="33" s="1"/>
  <c r="AA230" i="33" s="1"/>
  <c r="V215" i="33"/>
  <c r="V229" i="33" s="1"/>
  <c r="AA229" i="33" s="1"/>
  <c r="V214" i="33"/>
  <c r="V228" i="33" s="1"/>
  <c r="AA228" i="33" s="1"/>
  <c r="V213" i="33"/>
  <c r="V227" i="33" s="1"/>
  <c r="AA227" i="33" s="1"/>
  <c r="V212" i="33"/>
  <c r="V226" i="33" s="1"/>
  <c r="AA226" i="33" s="1"/>
  <c r="V211" i="33"/>
  <c r="V225" i="33" s="1"/>
  <c r="AA225" i="33" s="1"/>
  <c r="V210" i="33"/>
  <c r="AA210" i="33" s="1"/>
  <c r="V150" i="33"/>
  <c r="P150" i="33"/>
  <c r="V149" i="33"/>
  <c r="R149" i="33"/>
  <c r="S149" i="33" s="1"/>
  <c r="P149" i="33"/>
  <c r="V148" i="33"/>
  <c r="V190" i="33" s="1"/>
  <c r="AA190" i="33" s="1"/>
  <c r="P148" i="33"/>
  <c r="V147" i="33"/>
  <c r="P147" i="33"/>
  <c r="V146" i="33"/>
  <c r="V160" i="33" s="1"/>
  <c r="P146" i="33"/>
  <c r="V145" i="33"/>
  <c r="V159" i="33" s="1"/>
  <c r="P145" i="33"/>
  <c r="V144" i="33"/>
  <c r="P144" i="33"/>
  <c r="V143" i="33"/>
  <c r="P143" i="33"/>
  <c r="V142" i="33"/>
  <c r="V156" i="33" s="1"/>
  <c r="P142" i="33"/>
  <c r="P170" i="33" s="1"/>
  <c r="V141" i="33"/>
  <c r="V155" i="33" s="1"/>
  <c r="P141" i="33"/>
  <c r="P155" i="33" s="1"/>
  <c r="P197" i="33" s="1"/>
  <c r="V140" i="33"/>
  <c r="P140" i="33"/>
  <c r="P168" i="33" s="1"/>
  <c r="V139" i="33"/>
  <c r="P139" i="33"/>
  <c r="P167" i="33" s="1"/>
  <c r="V138" i="33"/>
  <c r="V180" i="33" s="1"/>
  <c r="AA180" i="33" s="1"/>
  <c r="P138" i="33"/>
  <c r="P152" i="33" s="1"/>
  <c r="P194" i="33" s="1"/>
  <c r="V77" i="33"/>
  <c r="R77" i="33"/>
  <c r="T105" i="33" s="1"/>
  <c r="P77" i="33"/>
  <c r="P105" i="33" s="1"/>
  <c r="L77" i="33"/>
  <c r="L251" i="33" s="1"/>
  <c r="L265" i="33" s="1"/>
  <c r="L279" i="33" s="1"/>
  <c r="V76" i="33"/>
  <c r="V90" i="33" s="1"/>
  <c r="R76" i="33"/>
  <c r="T104" i="33" s="1"/>
  <c r="P76" i="33"/>
  <c r="P90" i="33" s="1"/>
  <c r="P132" i="33" s="1"/>
  <c r="L76" i="33"/>
  <c r="L250" i="33" s="1"/>
  <c r="L264" i="33" s="1"/>
  <c r="L278" i="33" s="1"/>
  <c r="V75" i="33"/>
  <c r="V117" i="33" s="1"/>
  <c r="AA117" i="33" s="1"/>
  <c r="R75" i="33"/>
  <c r="Y75" i="33" s="1"/>
  <c r="P75" i="33"/>
  <c r="P89" i="33" s="1"/>
  <c r="P131" i="33" s="1"/>
  <c r="L75" i="33"/>
  <c r="V74" i="33"/>
  <c r="R74" i="33"/>
  <c r="Z102" i="33" s="1"/>
  <c r="P74" i="33"/>
  <c r="P88" i="33" s="1"/>
  <c r="P130" i="33" s="1"/>
  <c r="L74" i="33"/>
  <c r="V73" i="33"/>
  <c r="V115" i="33" s="1"/>
  <c r="AA115" i="33" s="1"/>
  <c r="R73" i="33"/>
  <c r="Z101" i="33" s="1"/>
  <c r="P73" i="33"/>
  <c r="L73" i="33"/>
  <c r="L247" i="33" s="1"/>
  <c r="L261" i="33" s="1"/>
  <c r="L275" i="33" s="1"/>
  <c r="V72" i="33"/>
  <c r="AA72" i="33" s="1"/>
  <c r="R72" i="33"/>
  <c r="R86" i="33" s="1"/>
  <c r="P72" i="33"/>
  <c r="P86" i="33" s="1"/>
  <c r="P128" i="33" s="1"/>
  <c r="L72" i="33"/>
  <c r="V71" i="33"/>
  <c r="R71" i="33"/>
  <c r="T71" i="33" s="1"/>
  <c r="P71" i="33"/>
  <c r="L71" i="33"/>
  <c r="V70" i="33"/>
  <c r="R70" i="33"/>
  <c r="P70" i="33"/>
  <c r="P84" i="33" s="1"/>
  <c r="P126" i="33" s="1"/>
  <c r="L70" i="33"/>
  <c r="V69" i="33"/>
  <c r="V111" i="33" s="1"/>
  <c r="AA111" i="33" s="1"/>
  <c r="R69" i="33"/>
  <c r="R83" i="33" s="1"/>
  <c r="L141" i="33" s="1"/>
  <c r="L155" i="33" s="1"/>
  <c r="L169" i="33" s="1"/>
  <c r="L183" i="33" s="1"/>
  <c r="L197" i="33" s="1"/>
  <c r="P69" i="33"/>
  <c r="L69" i="33"/>
  <c r="L243" i="33" s="1"/>
  <c r="L257" i="33" s="1"/>
  <c r="L271" i="33" s="1"/>
  <c r="V68" i="33"/>
  <c r="AA68" i="33" s="1"/>
  <c r="R68" i="33"/>
  <c r="Z68" i="33" s="1"/>
  <c r="P68" i="33"/>
  <c r="P82" i="33" s="1"/>
  <c r="P124" i="33" s="1"/>
  <c r="L68" i="33"/>
  <c r="L242" i="33" s="1"/>
  <c r="L256" i="33" s="1"/>
  <c r="L270" i="33" s="1"/>
  <c r="V67" i="33"/>
  <c r="V109" i="33" s="1"/>
  <c r="AA109" i="33" s="1"/>
  <c r="R67" i="33"/>
  <c r="R109" i="33" s="1"/>
  <c r="AC109" i="33" s="1"/>
  <c r="P67" i="33"/>
  <c r="P95" i="33" s="1"/>
  <c r="L67" i="33"/>
  <c r="V66" i="33"/>
  <c r="R66" i="33"/>
  <c r="P66" i="33"/>
  <c r="L66" i="33"/>
  <c r="L240" i="33" s="1"/>
  <c r="L254" i="33" s="1"/>
  <c r="L268" i="33" s="1"/>
  <c r="V61" i="33"/>
  <c r="AA61" i="33" s="1"/>
  <c r="R61" i="33"/>
  <c r="S61" i="33" s="1"/>
  <c r="P61" i="33"/>
  <c r="G61" i="33"/>
  <c r="AB61" i="33" s="1"/>
  <c r="F61" i="33"/>
  <c r="F251" i="33" s="1"/>
  <c r="V60" i="33"/>
  <c r="AA60" i="33" s="1"/>
  <c r="R60" i="33"/>
  <c r="T60" i="33" s="1"/>
  <c r="P60" i="33"/>
  <c r="G60" i="33"/>
  <c r="G76" i="33" s="1"/>
  <c r="AB76" i="33" s="1"/>
  <c r="F60" i="33"/>
  <c r="F250" i="33" s="1"/>
  <c r="V59" i="33"/>
  <c r="AA59" i="33" s="1"/>
  <c r="R59" i="33"/>
  <c r="P59" i="33"/>
  <c r="G59" i="33"/>
  <c r="F59" i="33"/>
  <c r="F249" i="33" s="1"/>
  <c r="V58" i="33"/>
  <c r="AA58" i="33" s="1"/>
  <c r="R58" i="33"/>
  <c r="Z58" i="33" s="1"/>
  <c r="P58" i="33"/>
  <c r="G58" i="33"/>
  <c r="X58" i="33" s="1"/>
  <c r="F58" i="33"/>
  <c r="F248" i="33" s="1"/>
  <c r="F276" i="33" s="1"/>
  <c r="V57" i="33"/>
  <c r="AA57" i="33" s="1"/>
  <c r="R57" i="33"/>
  <c r="AC57" i="33" s="1"/>
  <c r="P57" i="33"/>
  <c r="G57" i="33"/>
  <c r="G73" i="33" s="1"/>
  <c r="M73" i="33" s="1"/>
  <c r="M87" i="33" s="1"/>
  <c r="M101" i="33" s="1"/>
  <c r="M115" i="33" s="1"/>
  <c r="M129" i="33" s="1"/>
  <c r="F57" i="33"/>
  <c r="F247" i="33" s="1"/>
  <c r="V56" i="33"/>
  <c r="AA56" i="33" s="1"/>
  <c r="R56" i="33"/>
  <c r="Y56" i="33" s="1"/>
  <c r="P56" i="33"/>
  <c r="G56" i="33"/>
  <c r="G72" i="33" s="1"/>
  <c r="F56" i="33"/>
  <c r="F246" i="33" s="1"/>
  <c r="V55" i="33"/>
  <c r="AA55" i="33" s="1"/>
  <c r="R55" i="33"/>
  <c r="P55" i="33"/>
  <c r="G55" i="33"/>
  <c r="G71" i="33" s="1"/>
  <c r="U71" i="33" s="1"/>
  <c r="F55" i="33"/>
  <c r="F245" i="33" s="1"/>
  <c r="V54" i="33"/>
  <c r="AA54" i="33" s="1"/>
  <c r="R54" i="33"/>
  <c r="Z54" i="33" s="1"/>
  <c r="P54" i="33"/>
  <c r="G54" i="33"/>
  <c r="W54" i="33" s="1"/>
  <c r="F54" i="33"/>
  <c r="F244" i="33" s="1"/>
  <c r="V53" i="33"/>
  <c r="AA53" i="33" s="1"/>
  <c r="R53" i="33"/>
  <c r="S53" i="33" s="1"/>
  <c r="P53" i="33"/>
  <c r="G53" i="33"/>
  <c r="G69" i="33" s="1"/>
  <c r="F53" i="33"/>
  <c r="F243" i="33" s="1"/>
  <c r="V52" i="33"/>
  <c r="AA52" i="33" s="1"/>
  <c r="R52" i="33"/>
  <c r="T52" i="33" s="1"/>
  <c r="P52" i="33"/>
  <c r="G52" i="33"/>
  <c r="F52" i="33"/>
  <c r="F242" i="33" s="1"/>
  <c r="V51" i="33"/>
  <c r="AA51" i="33" s="1"/>
  <c r="R51" i="33"/>
  <c r="P51" i="33"/>
  <c r="G51" i="33"/>
  <c r="W51" i="33" s="1"/>
  <c r="F51" i="33"/>
  <c r="F241" i="33" s="1"/>
  <c r="V50" i="33"/>
  <c r="AA50" i="33" s="1"/>
  <c r="R50" i="33"/>
  <c r="Z50" i="33" s="1"/>
  <c r="P50" i="33"/>
  <c r="G50" i="33"/>
  <c r="X50" i="33" s="1"/>
  <c r="F50" i="33"/>
  <c r="F240" i="33" s="1"/>
  <c r="D35" i="33"/>
  <c r="D8" i="24" s="1"/>
  <c r="AC47" i="33"/>
  <c r="AB47" i="33"/>
  <c r="Z47" i="33"/>
  <c r="Y47" i="33"/>
  <c r="V47" i="33"/>
  <c r="AA47" i="33" s="1"/>
  <c r="T47" i="33"/>
  <c r="S47" i="33"/>
  <c r="P47" i="33"/>
  <c r="D47" i="33"/>
  <c r="G47" i="33" s="1"/>
  <c r="W47" i="33" s="1"/>
  <c r="Z46" i="33"/>
  <c r="V46" i="33"/>
  <c r="AA46" i="33" s="1"/>
  <c r="T46" i="33"/>
  <c r="P46" i="33"/>
  <c r="D46" i="33"/>
  <c r="G46" i="33" s="1"/>
  <c r="W46" i="33" s="1"/>
  <c r="Z45" i="33"/>
  <c r="V45" i="33"/>
  <c r="AA45" i="33" s="1"/>
  <c r="T45" i="33"/>
  <c r="P45" i="33"/>
  <c r="D45" i="33"/>
  <c r="G45" i="33" s="1"/>
  <c r="Z44" i="33"/>
  <c r="V44" i="33"/>
  <c r="AA44" i="33" s="1"/>
  <c r="T44" i="33"/>
  <c r="P44" i="33"/>
  <c r="D44" i="33"/>
  <c r="G44" i="33" s="1"/>
  <c r="Z43" i="33"/>
  <c r="V43" i="33"/>
  <c r="AA43" i="33" s="1"/>
  <c r="T43" i="33"/>
  <c r="P43" i="33"/>
  <c r="D43" i="33"/>
  <c r="G43" i="33" s="1"/>
  <c r="N43" i="33" s="1"/>
  <c r="Z42" i="33"/>
  <c r="V42" i="33"/>
  <c r="AA42" i="33" s="1"/>
  <c r="T42" i="33"/>
  <c r="P42" i="33"/>
  <c r="D42" i="33"/>
  <c r="G42" i="33" s="1"/>
  <c r="N42" i="33" s="1"/>
  <c r="Z41" i="33"/>
  <c r="V41" i="33"/>
  <c r="AA41" i="33" s="1"/>
  <c r="T41" i="33"/>
  <c r="P41" i="33"/>
  <c r="D41" i="33"/>
  <c r="G41" i="33" s="1"/>
  <c r="U41" i="33" s="1"/>
  <c r="Z40" i="33"/>
  <c r="V40" i="33"/>
  <c r="AA40" i="33" s="1"/>
  <c r="T40" i="33"/>
  <c r="P40" i="33"/>
  <c r="D40" i="33"/>
  <c r="G40" i="33" s="1"/>
  <c r="Z39" i="33"/>
  <c r="V39" i="33"/>
  <c r="AA39" i="33" s="1"/>
  <c r="T39" i="33"/>
  <c r="P39" i="33"/>
  <c r="D39" i="33"/>
  <c r="G39" i="33" s="1"/>
  <c r="Z38" i="33"/>
  <c r="V38" i="33"/>
  <c r="AA38" i="33" s="1"/>
  <c r="T38" i="33"/>
  <c r="P38" i="33"/>
  <c r="D38" i="33"/>
  <c r="G38" i="33" s="1"/>
  <c r="W38" i="33" s="1"/>
  <c r="Z37" i="33"/>
  <c r="V37" i="33"/>
  <c r="AA37" i="33" s="1"/>
  <c r="T37" i="33"/>
  <c r="P37" i="33"/>
  <c r="D37" i="33"/>
  <c r="G37" i="33" s="1"/>
  <c r="U37" i="33" s="1"/>
  <c r="Z36" i="33"/>
  <c r="V36" i="33"/>
  <c r="AA36" i="33" s="1"/>
  <c r="T36" i="33"/>
  <c r="P36" i="33"/>
  <c r="D36" i="33"/>
  <c r="G36" i="33" s="1"/>
  <c r="V33" i="33"/>
  <c r="AA33" i="33" s="1"/>
  <c r="R33" i="33"/>
  <c r="R47" i="33" s="1"/>
  <c r="P33" i="33"/>
  <c r="G33" i="33"/>
  <c r="X33" i="33" s="1"/>
  <c r="V32" i="33"/>
  <c r="AA32" i="33" s="1"/>
  <c r="R32" i="33"/>
  <c r="P32" i="33"/>
  <c r="G32" i="33"/>
  <c r="X32" i="33" s="1"/>
  <c r="V31" i="33"/>
  <c r="AA31" i="33" s="1"/>
  <c r="R31" i="33"/>
  <c r="P31" i="33"/>
  <c r="G31" i="33"/>
  <c r="X31" i="33" s="1"/>
  <c r="V30" i="33"/>
  <c r="AA30" i="33" s="1"/>
  <c r="R30" i="33"/>
  <c r="R44" i="33" s="1"/>
  <c r="AB44" i="33" s="1"/>
  <c r="P30" i="33"/>
  <c r="G30" i="33"/>
  <c r="X30" i="33" s="1"/>
  <c r="V29" i="33"/>
  <c r="AA29" i="33" s="1"/>
  <c r="R29" i="33"/>
  <c r="P29" i="33"/>
  <c r="G29" i="33"/>
  <c r="X29" i="33" s="1"/>
  <c r="V28" i="33"/>
  <c r="AA28" i="33" s="1"/>
  <c r="R28" i="33"/>
  <c r="R42" i="33" s="1"/>
  <c r="Y42" i="33" s="1"/>
  <c r="P28" i="33"/>
  <c r="G28" i="33"/>
  <c r="X28" i="33" s="1"/>
  <c r="V27" i="33"/>
  <c r="AA27" i="33" s="1"/>
  <c r="R27" i="33"/>
  <c r="P27" i="33"/>
  <c r="G27" i="33"/>
  <c r="X27" i="33" s="1"/>
  <c r="V26" i="33"/>
  <c r="AA26" i="33" s="1"/>
  <c r="R26" i="33"/>
  <c r="P26" i="33"/>
  <c r="G26" i="33"/>
  <c r="X26" i="33" s="1"/>
  <c r="V25" i="33"/>
  <c r="AA25" i="33" s="1"/>
  <c r="R25" i="33"/>
  <c r="P25" i="33"/>
  <c r="G25" i="33"/>
  <c r="X25" i="33" s="1"/>
  <c r="V24" i="33"/>
  <c r="AA24" i="33" s="1"/>
  <c r="R24" i="33"/>
  <c r="P24" i="33"/>
  <c r="G24" i="33"/>
  <c r="X24" i="33" s="1"/>
  <c r="V23" i="33"/>
  <c r="AA23" i="33" s="1"/>
  <c r="R23" i="33"/>
  <c r="P23" i="33"/>
  <c r="G23" i="33"/>
  <c r="X23" i="33" s="1"/>
  <c r="V22" i="33"/>
  <c r="AA22" i="33" s="1"/>
  <c r="R22" i="33"/>
  <c r="P22" i="33"/>
  <c r="G22" i="33"/>
  <c r="X22" i="33" s="1"/>
  <c r="AB18" i="33"/>
  <c r="AA18" i="33"/>
  <c r="Z18" i="33"/>
  <c r="Y18" i="33"/>
  <c r="X18" i="33"/>
  <c r="X77" i="33" s="1"/>
  <c r="W18" i="33"/>
  <c r="U18" i="33"/>
  <c r="AC18" i="33" s="1"/>
  <c r="T18" i="33"/>
  <c r="S18" i="33"/>
  <c r="Q18" i="33"/>
  <c r="AB17" i="33"/>
  <c r="AA17" i="33"/>
  <c r="Z17" i="33"/>
  <c r="Y17" i="33"/>
  <c r="X17" i="33"/>
  <c r="X76" i="33" s="1"/>
  <c r="W17" i="33"/>
  <c r="U17" i="33"/>
  <c r="AC17" i="33" s="1"/>
  <c r="T17" i="33"/>
  <c r="S17" i="33"/>
  <c r="Q17" i="33"/>
  <c r="Q60" i="33" s="1"/>
  <c r="AB16" i="33"/>
  <c r="AA16" i="33"/>
  <c r="Z16" i="33"/>
  <c r="Y16" i="33"/>
  <c r="X16" i="33"/>
  <c r="X75" i="33" s="1"/>
  <c r="W16" i="33"/>
  <c r="U16" i="33"/>
  <c r="AC16" i="33" s="1"/>
  <c r="T16" i="33"/>
  <c r="S16" i="33"/>
  <c r="Q16" i="33"/>
  <c r="AB15" i="33"/>
  <c r="AA15" i="33"/>
  <c r="Z15" i="33"/>
  <c r="Y15" i="33"/>
  <c r="X15" i="33"/>
  <c r="X74" i="33" s="1"/>
  <c r="W15" i="33"/>
  <c r="U15" i="33"/>
  <c r="AC15" i="33" s="1"/>
  <c r="T15" i="33"/>
  <c r="S15" i="33"/>
  <c r="Q15" i="33"/>
  <c r="Q44" i="33" s="1"/>
  <c r="AB14" i="33"/>
  <c r="AA14" i="33"/>
  <c r="Z14" i="33"/>
  <c r="Y14" i="33"/>
  <c r="X14" i="33"/>
  <c r="X73" i="33" s="1"/>
  <c r="W14" i="33"/>
  <c r="W129" i="33" s="1"/>
  <c r="U14" i="33"/>
  <c r="AC14" i="33" s="1"/>
  <c r="T14" i="33"/>
  <c r="S14" i="33"/>
  <c r="Q14" i="33"/>
  <c r="Q43" i="33" s="1"/>
  <c r="AB13" i="33"/>
  <c r="AA13" i="33"/>
  <c r="Z13" i="33"/>
  <c r="Y13" i="33"/>
  <c r="X13" i="33"/>
  <c r="X72" i="33" s="1"/>
  <c r="W13" i="33"/>
  <c r="W274" i="33" s="1"/>
  <c r="U13" i="33"/>
  <c r="AC13" i="33" s="1"/>
  <c r="T13" i="33"/>
  <c r="S13" i="33"/>
  <c r="Q13" i="33"/>
  <c r="AB12" i="33"/>
  <c r="AA12" i="33"/>
  <c r="Z12" i="33"/>
  <c r="Y12" i="33"/>
  <c r="X12" i="33"/>
  <c r="X71" i="33" s="1"/>
  <c r="W12" i="33"/>
  <c r="W171" i="33" s="1"/>
  <c r="U12" i="33"/>
  <c r="AC12" i="33" s="1"/>
  <c r="T12" i="33"/>
  <c r="S12" i="33"/>
  <c r="Q12" i="33"/>
  <c r="Q41" i="33" s="1"/>
  <c r="AB11" i="33"/>
  <c r="AA11" i="33"/>
  <c r="Z11" i="33"/>
  <c r="Y11" i="33"/>
  <c r="X11" i="33"/>
  <c r="X70" i="33" s="1"/>
  <c r="W11" i="33"/>
  <c r="U11" i="33"/>
  <c r="AC11" i="33" s="1"/>
  <c r="T11" i="33"/>
  <c r="S11" i="33"/>
  <c r="Q11" i="33"/>
  <c r="Q40" i="33" s="1"/>
  <c r="AB10" i="33"/>
  <c r="AA10" i="33"/>
  <c r="Z10" i="33"/>
  <c r="Y10" i="33"/>
  <c r="X10" i="33"/>
  <c r="X69" i="33" s="1"/>
  <c r="W10" i="33"/>
  <c r="U10" i="33"/>
  <c r="AC10" i="33" s="1"/>
  <c r="T10" i="33"/>
  <c r="S10" i="33"/>
  <c r="Q10" i="33"/>
  <c r="Q69" i="33" s="1"/>
  <c r="AB9" i="33"/>
  <c r="AA9" i="33"/>
  <c r="Z9" i="33"/>
  <c r="Y9" i="33"/>
  <c r="X9" i="33"/>
  <c r="X68" i="33" s="1"/>
  <c r="W9" i="33"/>
  <c r="U9" i="33"/>
  <c r="AC9" i="33" s="1"/>
  <c r="T9" i="33"/>
  <c r="S9" i="33"/>
  <c r="Q9" i="33"/>
  <c r="AB8" i="33"/>
  <c r="AA8" i="33"/>
  <c r="Z8" i="33"/>
  <c r="Y8" i="33"/>
  <c r="X8" i="33"/>
  <c r="X67" i="33" s="1"/>
  <c r="W8" i="33"/>
  <c r="U8" i="33"/>
  <c r="AC8" i="33" s="1"/>
  <c r="T8" i="33"/>
  <c r="S8" i="33"/>
  <c r="Q8" i="33"/>
  <c r="AB7" i="33"/>
  <c r="AA7" i="33"/>
  <c r="Z7" i="33"/>
  <c r="Y7" i="33"/>
  <c r="X7" i="33"/>
  <c r="W7" i="33"/>
  <c r="U7" i="33"/>
  <c r="T7" i="33"/>
  <c r="T19" i="33" s="1"/>
  <c r="S7" i="33"/>
  <c r="Q7" i="33"/>
  <c r="AE76" i="23"/>
  <c r="AE72" i="23" s="1"/>
  <c r="AG75" i="23"/>
  <c r="Z74" i="23" s="1"/>
  <c r="X75" i="23"/>
  <c r="V75" i="23"/>
  <c r="Q75" i="23"/>
  <c r="P75" i="23"/>
  <c r="G75" i="23"/>
  <c r="F75" i="23"/>
  <c r="E75" i="23"/>
  <c r="D75" i="23"/>
  <c r="D283" i="33" s="1"/>
  <c r="D35" i="24" s="1"/>
  <c r="AD73" i="23"/>
  <c r="AH72" i="23"/>
  <c r="AF72" i="23"/>
  <c r="AE71" i="23"/>
  <c r="AE61" i="23" s="1"/>
  <c r="AG70" i="23"/>
  <c r="C9" i="35" s="1"/>
  <c r="X70" i="23"/>
  <c r="V70" i="23"/>
  <c r="R70" i="23"/>
  <c r="Q70" i="23"/>
  <c r="P70" i="23"/>
  <c r="M70" i="23"/>
  <c r="M267" i="33" s="1"/>
  <c r="M32" i="24" s="1"/>
  <c r="L70" i="23"/>
  <c r="G70" i="23"/>
  <c r="F70" i="23"/>
  <c r="E70" i="23"/>
  <c r="D70" i="23"/>
  <c r="D267" i="33" s="1"/>
  <c r="D32" i="24" s="1"/>
  <c r="Z69" i="23"/>
  <c r="AA69" i="23" s="1"/>
  <c r="AC69" i="23" s="1"/>
  <c r="AC70" i="23" s="1"/>
  <c r="T69" i="23"/>
  <c r="T70" i="23" s="1"/>
  <c r="R69" i="23"/>
  <c r="S69" i="23" s="1"/>
  <c r="S70" i="23" s="1"/>
  <c r="AD68" i="23"/>
  <c r="AG67" i="23"/>
  <c r="X67" i="23"/>
  <c r="V67" i="23"/>
  <c r="Q67" i="23"/>
  <c r="P67" i="23"/>
  <c r="M67" i="23"/>
  <c r="L67" i="23"/>
  <c r="G67" i="23"/>
  <c r="F67" i="23"/>
  <c r="E67" i="23"/>
  <c r="D67" i="23"/>
  <c r="D253" i="33" s="1"/>
  <c r="D31" i="24" s="1"/>
  <c r="AD65" i="23"/>
  <c r="AG64" i="23"/>
  <c r="C19" i="35" s="1"/>
  <c r="X64" i="23"/>
  <c r="V64" i="23"/>
  <c r="Q64" i="23"/>
  <c r="P64" i="23"/>
  <c r="M64" i="23"/>
  <c r="M239" i="33" s="1"/>
  <c r="M30" i="24" s="1"/>
  <c r="L64" i="23"/>
  <c r="G64" i="23"/>
  <c r="F64" i="23"/>
  <c r="E64" i="23"/>
  <c r="E239" i="33" s="1"/>
  <c r="E30" i="24" s="1"/>
  <c r="D64" i="23"/>
  <c r="AD62" i="23"/>
  <c r="AJ61" i="23"/>
  <c r="AH61" i="23"/>
  <c r="AF61" i="23"/>
  <c r="AE60" i="23"/>
  <c r="AG60" i="23" s="1"/>
  <c r="AG59" i="23"/>
  <c r="C12" i="35" s="1"/>
  <c r="X59" i="23"/>
  <c r="V59" i="23"/>
  <c r="Q59" i="23"/>
  <c r="P59" i="23"/>
  <c r="N59" i="23"/>
  <c r="N223" i="33" s="1"/>
  <c r="N27" i="24" s="1"/>
  <c r="M59" i="23"/>
  <c r="M223" i="33" s="1"/>
  <c r="M27" i="24" s="1"/>
  <c r="L59" i="23"/>
  <c r="G59" i="23"/>
  <c r="F59" i="23"/>
  <c r="F223" i="33" s="1"/>
  <c r="F27" i="24" s="1"/>
  <c r="E59" i="23"/>
  <c r="E223" i="33" s="1"/>
  <c r="E27" i="24" s="1"/>
  <c r="D59" i="23"/>
  <c r="W58" i="23"/>
  <c r="W59" i="23" s="1"/>
  <c r="R58" i="23"/>
  <c r="R59" i="23" s="1"/>
  <c r="AD57" i="23"/>
  <c r="AG56" i="23"/>
  <c r="C7" i="35" s="1"/>
  <c r="X56" i="23"/>
  <c r="V56" i="23"/>
  <c r="Q56" i="23"/>
  <c r="P56" i="23"/>
  <c r="N56" i="23"/>
  <c r="N209" i="33" s="1"/>
  <c r="N26" i="24" s="1"/>
  <c r="L56" i="23"/>
  <c r="G56" i="23"/>
  <c r="F56" i="23"/>
  <c r="F209" i="33" s="1"/>
  <c r="F26" i="24" s="1"/>
  <c r="E56" i="23"/>
  <c r="E209" i="33" s="1"/>
  <c r="E26" i="24" s="1"/>
  <c r="D56" i="23"/>
  <c r="R55" i="23"/>
  <c r="AD54" i="23"/>
  <c r="AH53" i="23"/>
  <c r="AF53" i="23"/>
  <c r="AE53" i="23"/>
  <c r="AE52" i="23"/>
  <c r="AE36" i="23" s="1"/>
  <c r="AF51" i="23"/>
  <c r="X51" i="23"/>
  <c r="V51" i="23"/>
  <c r="Q51" i="23"/>
  <c r="P51" i="23"/>
  <c r="N51" i="23"/>
  <c r="N193" i="33" s="1"/>
  <c r="N23" i="24" s="1"/>
  <c r="M51" i="23"/>
  <c r="L51" i="23"/>
  <c r="G51" i="23"/>
  <c r="F51" i="23"/>
  <c r="F193" i="33" s="1"/>
  <c r="F23" i="24" s="1"/>
  <c r="E51" i="23"/>
  <c r="E193" i="33" s="1"/>
  <c r="E23" i="24" s="1"/>
  <c r="D51" i="23"/>
  <c r="AD49" i="23"/>
  <c r="AF48" i="23"/>
  <c r="X48" i="23"/>
  <c r="V48" i="23"/>
  <c r="Q48" i="23"/>
  <c r="P48" i="23"/>
  <c r="N48" i="23"/>
  <c r="N179" i="33" s="1"/>
  <c r="N22" i="24" s="1"/>
  <c r="M48" i="23"/>
  <c r="L48" i="23"/>
  <c r="G48" i="23"/>
  <c r="F48" i="23"/>
  <c r="E48" i="23"/>
  <c r="E179" i="33" s="1"/>
  <c r="E22" i="24" s="1"/>
  <c r="D48" i="23"/>
  <c r="D179" i="33" s="1"/>
  <c r="D22" i="24" s="1"/>
  <c r="AD46" i="23"/>
  <c r="AF45" i="23"/>
  <c r="AG45" i="23" s="1"/>
  <c r="C4" i="35" s="1"/>
  <c r="X45" i="23"/>
  <c r="V45" i="23"/>
  <c r="Q45" i="23"/>
  <c r="P45" i="23"/>
  <c r="N45" i="23"/>
  <c r="M45" i="23"/>
  <c r="L45" i="23"/>
  <c r="G45" i="23"/>
  <c r="F45" i="23"/>
  <c r="E45" i="23"/>
  <c r="E165" i="33" s="1"/>
  <c r="E21" i="24" s="1"/>
  <c r="D45" i="23"/>
  <c r="D165" i="33" s="1"/>
  <c r="D21" i="24" s="1"/>
  <c r="AD43" i="23"/>
  <c r="AF42" i="23"/>
  <c r="X42" i="23"/>
  <c r="V42" i="23"/>
  <c r="Q42" i="23"/>
  <c r="P42" i="23"/>
  <c r="N42" i="23"/>
  <c r="N151" i="33" s="1"/>
  <c r="N20" i="24" s="1"/>
  <c r="M42" i="23"/>
  <c r="L42" i="23"/>
  <c r="G42" i="23"/>
  <c r="F42" i="23"/>
  <c r="F151" i="33" s="1"/>
  <c r="F20" i="24" s="1"/>
  <c r="E42" i="23"/>
  <c r="E151" i="33" s="1"/>
  <c r="E20" i="24" s="1"/>
  <c r="D42" i="23"/>
  <c r="AD40" i="23"/>
  <c r="AF39" i="23"/>
  <c r="X39" i="23"/>
  <c r="V39" i="23"/>
  <c r="Q39" i="23"/>
  <c r="P39" i="23"/>
  <c r="N39" i="23"/>
  <c r="M39" i="23"/>
  <c r="L39" i="23"/>
  <c r="G39" i="23"/>
  <c r="F39" i="23"/>
  <c r="F137" i="33" s="1"/>
  <c r="F19" i="24" s="1"/>
  <c r="E39" i="23"/>
  <c r="E137" i="33" s="1"/>
  <c r="E19" i="24" s="1"/>
  <c r="D39" i="23"/>
  <c r="AD37" i="23"/>
  <c r="AE35" i="23"/>
  <c r="AG35" i="23" s="1"/>
  <c r="AG34" i="23"/>
  <c r="R33" i="23" s="1"/>
  <c r="X34" i="23"/>
  <c r="V34" i="23"/>
  <c r="Q34" i="23"/>
  <c r="P34" i="23"/>
  <c r="N34" i="23"/>
  <c r="N121" i="33" s="1"/>
  <c r="N16" i="24" s="1"/>
  <c r="M34" i="23"/>
  <c r="L34" i="23"/>
  <c r="G34" i="23"/>
  <c r="F34" i="23"/>
  <c r="F121" i="33" s="1"/>
  <c r="F16" i="24" s="1"/>
  <c r="E34" i="23"/>
  <c r="E121" i="33" s="1"/>
  <c r="E16" i="24" s="1"/>
  <c r="D34" i="23"/>
  <c r="AD32" i="23"/>
  <c r="AG31" i="23"/>
  <c r="X31" i="23"/>
  <c r="V31" i="23"/>
  <c r="Q31" i="23"/>
  <c r="P31" i="23"/>
  <c r="N31" i="23"/>
  <c r="N107" i="33" s="1"/>
  <c r="N15" i="24" s="1"/>
  <c r="M31" i="23"/>
  <c r="L31" i="23"/>
  <c r="G31" i="23"/>
  <c r="F31" i="23"/>
  <c r="E31" i="23"/>
  <c r="D31" i="23"/>
  <c r="D107" i="33" s="1"/>
  <c r="D15" i="24" s="1"/>
  <c r="W30" i="23"/>
  <c r="W31" i="23" s="1"/>
  <c r="AD29" i="23"/>
  <c r="AG28" i="23"/>
  <c r="C2" i="35" s="1"/>
  <c r="X28" i="23"/>
  <c r="V28" i="23"/>
  <c r="Q28" i="23"/>
  <c r="P28" i="23"/>
  <c r="N28" i="23"/>
  <c r="M28" i="23"/>
  <c r="L28" i="23"/>
  <c r="G28" i="23"/>
  <c r="F28" i="23"/>
  <c r="E28" i="23"/>
  <c r="D28" i="23"/>
  <c r="D93" i="33" s="1"/>
  <c r="D14" i="24" s="1"/>
  <c r="W27" i="23"/>
  <c r="W28" i="23" s="1"/>
  <c r="AD26" i="23"/>
  <c r="AG25" i="23"/>
  <c r="C10" i="35" s="1"/>
  <c r="X25" i="23"/>
  <c r="V25" i="23"/>
  <c r="Q25" i="23"/>
  <c r="P25" i="23"/>
  <c r="N25" i="23"/>
  <c r="M25" i="23"/>
  <c r="L25" i="23"/>
  <c r="G25" i="23"/>
  <c r="F25" i="23"/>
  <c r="F79" i="33" s="1"/>
  <c r="F13" i="24" s="1"/>
  <c r="E25" i="23"/>
  <c r="E79" i="33" s="1"/>
  <c r="E13" i="24" s="1"/>
  <c r="D25" i="23"/>
  <c r="D79" i="33" s="1"/>
  <c r="D13" i="24" s="1"/>
  <c r="AD23" i="23"/>
  <c r="AG22" i="23"/>
  <c r="C13" i="35" s="1"/>
  <c r="X22" i="23"/>
  <c r="V22" i="23"/>
  <c r="Q22" i="23"/>
  <c r="P22" i="23"/>
  <c r="N22" i="23"/>
  <c r="N65" i="33" s="1"/>
  <c r="N12" i="24" s="1"/>
  <c r="M22" i="23"/>
  <c r="L22" i="23"/>
  <c r="G22" i="23"/>
  <c r="F22" i="23"/>
  <c r="F65" i="33" s="1"/>
  <c r="F12" i="24" s="1"/>
  <c r="E22" i="23"/>
  <c r="E65" i="33" s="1"/>
  <c r="E12" i="24" s="1"/>
  <c r="D22" i="23"/>
  <c r="AD20" i="23"/>
  <c r="AF19" i="23"/>
  <c r="AE19" i="23"/>
  <c r="AE18" i="23"/>
  <c r="AG18" i="23" s="1"/>
  <c r="AG17" i="23"/>
  <c r="X17" i="23"/>
  <c r="V17" i="23"/>
  <c r="V49" i="33" s="1"/>
  <c r="V9" i="24" s="1"/>
  <c r="Q17" i="23"/>
  <c r="P17" i="23"/>
  <c r="P49" i="33" s="1"/>
  <c r="P9" i="24" s="1"/>
  <c r="N17" i="23"/>
  <c r="N49" i="33" s="1"/>
  <c r="N9" i="24" s="1"/>
  <c r="G17" i="23"/>
  <c r="F17" i="23"/>
  <c r="E17" i="23"/>
  <c r="E49" i="33" s="1"/>
  <c r="E9" i="24" s="1"/>
  <c r="D17" i="23"/>
  <c r="D49" i="33" s="1"/>
  <c r="D9" i="24" s="1"/>
  <c r="AD15" i="23"/>
  <c r="AG14" i="23"/>
  <c r="C18" i="35" s="1"/>
  <c r="X14" i="23"/>
  <c r="V14" i="23"/>
  <c r="V35" i="33" s="1"/>
  <c r="V8" i="24" s="1"/>
  <c r="Q14" i="23"/>
  <c r="P14" i="23"/>
  <c r="P35" i="33" s="1"/>
  <c r="P8" i="24" s="1"/>
  <c r="N14" i="23"/>
  <c r="G14" i="23"/>
  <c r="F14" i="23"/>
  <c r="F35" i="33" s="1"/>
  <c r="F8" i="24" s="1"/>
  <c r="E14" i="23"/>
  <c r="E35" i="33" s="1"/>
  <c r="E8" i="24" s="1"/>
  <c r="D14" i="23"/>
  <c r="AD12" i="23"/>
  <c r="AF11" i="23"/>
  <c r="AG11" i="23" s="1"/>
  <c r="C15" i="35" s="1"/>
  <c r="X11" i="23"/>
  <c r="V11" i="23"/>
  <c r="V21" i="33" s="1"/>
  <c r="V7" i="24" s="1"/>
  <c r="Q11" i="23"/>
  <c r="P11" i="23"/>
  <c r="P21" i="33" s="1"/>
  <c r="P7" i="24" s="1"/>
  <c r="N11" i="23"/>
  <c r="N21" i="33" s="1"/>
  <c r="N7" i="24" s="1"/>
  <c r="G11" i="23"/>
  <c r="F11" i="23"/>
  <c r="F21" i="33" s="1"/>
  <c r="F7" i="24" s="1"/>
  <c r="E11" i="23"/>
  <c r="E21" i="33" s="1"/>
  <c r="E7" i="24" s="1"/>
  <c r="D11" i="23"/>
  <c r="D21" i="33" s="1"/>
  <c r="D7" i="24" s="1"/>
  <c r="AD9" i="23"/>
  <c r="AF8" i="23"/>
  <c r="X8" i="23"/>
  <c r="V8" i="23"/>
  <c r="V6" i="33" s="1"/>
  <c r="V6" i="24" s="1"/>
  <c r="Q8" i="23"/>
  <c r="P8" i="23"/>
  <c r="P6" i="33" s="1"/>
  <c r="P6" i="24" s="1"/>
  <c r="N8" i="23"/>
  <c r="N6" i="33" s="1"/>
  <c r="N6" i="24" s="1"/>
  <c r="G8" i="23"/>
  <c r="G6" i="33" s="1"/>
  <c r="G6" i="24" s="1"/>
  <c r="F8" i="23"/>
  <c r="F6" i="33" s="1"/>
  <c r="F6" i="24" s="1"/>
  <c r="E8" i="23"/>
  <c r="E6" i="33" s="1"/>
  <c r="E6" i="24" s="1"/>
  <c r="D8" i="23"/>
  <c r="D6" i="33" s="1"/>
  <c r="D6" i="24" s="1"/>
  <c r="AD6" i="23"/>
  <c r="Q19" i="33" l="1"/>
  <c r="AA19" i="33"/>
  <c r="S42" i="33"/>
  <c r="AC44" i="33"/>
  <c r="S19" i="33"/>
  <c r="AB19" i="33"/>
  <c r="S44" i="33"/>
  <c r="AC7" i="33"/>
  <c r="AC19" i="33" s="1"/>
  <c r="U19" i="33"/>
  <c r="R144" i="33"/>
  <c r="R158" i="33" s="1"/>
  <c r="R290" i="33"/>
  <c r="AC290" i="33" s="1"/>
  <c r="T24" i="33"/>
  <c r="R38" i="33"/>
  <c r="R146" i="33"/>
  <c r="Y146" i="33" s="1"/>
  <c r="AB42" i="33"/>
  <c r="Y44" i="33"/>
  <c r="Y19" i="33"/>
  <c r="T23" i="33"/>
  <c r="R37" i="33"/>
  <c r="T25" i="33"/>
  <c r="R39" i="33"/>
  <c r="Z27" i="33"/>
  <c r="R41" i="33"/>
  <c r="Z29" i="33"/>
  <c r="R43" i="33"/>
  <c r="Z31" i="33"/>
  <c r="R45" i="33"/>
  <c r="AC42" i="33"/>
  <c r="T22" i="33"/>
  <c r="R36" i="33"/>
  <c r="T26" i="33"/>
  <c r="R40" i="33"/>
  <c r="Y32" i="33"/>
  <c r="R46" i="33"/>
  <c r="R292" i="33"/>
  <c r="AC292" i="33" s="1"/>
  <c r="W194" i="33"/>
  <c r="W19" i="33"/>
  <c r="X66" i="33"/>
  <c r="X19" i="33"/>
  <c r="Z19" i="33"/>
  <c r="E267" i="33"/>
  <c r="E32" i="24" s="1"/>
  <c r="Z13" i="23"/>
  <c r="Z14" i="23" s="1"/>
  <c r="AF5" i="23"/>
  <c r="AG71" i="23"/>
  <c r="AG61" i="23" s="1"/>
  <c r="Z27" i="23"/>
  <c r="Z28" i="23" s="1"/>
  <c r="R63" i="23"/>
  <c r="T63" i="23" s="1"/>
  <c r="T64" i="23" s="1"/>
  <c r="R13" i="23"/>
  <c r="W63" i="23"/>
  <c r="W64" i="23" s="1"/>
  <c r="Y58" i="23"/>
  <c r="Y59" i="23" s="1"/>
  <c r="Z63" i="23"/>
  <c r="AA63" i="23" s="1"/>
  <c r="AA64" i="23" s="1"/>
  <c r="S33" i="23"/>
  <c r="S34" i="23" s="1"/>
  <c r="R34" i="23"/>
  <c r="T33" i="23"/>
  <c r="T34" i="23" s="1"/>
  <c r="Z75" i="23"/>
  <c r="AA74" i="23"/>
  <c r="W16" i="23"/>
  <c r="Y16" i="23" s="1"/>
  <c r="Y17" i="23" s="1"/>
  <c r="C17" i="35"/>
  <c r="N79" i="33"/>
  <c r="N13" i="24" s="1"/>
  <c r="D137" i="33"/>
  <c r="D19" i="24" s="1"/>
  <c r="R66" i="23"/>
  <c r="C8" i="35"/>
  <c r="R27" i="23"/>
  <c r="F93" i="33"/>
  <c r="F14" i="24" s="1"/>
  <c r="AH35" i="23"/>
  <c r="N137" i="33"/>
  <c r="N19" i="24" s="1"/>
  <c r="W66" i="23"/>
  <c r="F283" i="33"/>
  <c r="F35" i="24" s="1"/>
  <c r="AA13" i="23"/>
  <c r="AA14" i="23" s="1"/>
  <c r="AA35" i="33" s="1"/>
  <c r="AA8" i="24" s="1"/>
  <c r="AG76" i="23"/>
  <c r="Y30" i="23"/>
  <c r="Y31" i="23" s="1"/>
  <c r="E2" i="35"/>
  <c r="Z64" i="23"/>
  <c r="D239" i="33"/>
  <c r="D30" i="24" s="1"/>
  <c r="R74" i="23"/>
  <c r="T74" i="23" s="1"/>
  <c r="T75" i="23" s="1"/>
  <c r="C20" i="35"/>
  <c r="AG8" i="23"/>
  <c r="AH11" i="23" s="1"/>
  <c r="D223" i="33"/>
  <c r="D27" i="24" s="1"/>
  <c r="W74" i="23"/>
  <c r="Y74" i="23" s="1"/>
  <c r="Y75" i="23" s="1"/>
  <c r="Y72" i="23" s="1"/>
  <c r="F179" i="33"/>
  <c r="F22" i="24" s="1"/>
  <c r="AG52" i="23"/>
  <c r="D65" i="33"/>
  <c r="D12" i="24" s="1"/>
  <c r="E107" i="33"/>
  <c r="E15" i="24" s="1"/>
  <c r="F165" i="33"/>
  <c r="F21" i="24" s="1"/>
  <c r="L223" i="33"/>
  <c r="L27" i="24" s="1"/>
  <c r="M253" i="33"/>
  <c r="M31" i="24" s="1"/>
  <c r="Z70" i="23"/>
  <c r="AG72" i="23"/>
  <c r="N72" i="23" s="1"/>
  <c r="D121" i="33"/>
  <c r="D16" i="24" s="1"/>
  <c r="D209" i="33"/>
  <c r="D26" i="24"/>
  <c r="E253" i="33"/>
  <c r="E31" i="24" s="1"/>
  <c r="P72" i="23"/>
  <c r="Y27" i="23"/>
  <c r="Y28" i="23" s="1"/>
  <c r="Z30" i="23"/>
  <c r="AA30" i="23" s="1"/>
  <c r="AA31" i="23" s="1"/>
  <c r="C3" i="35"/>
  <c r="E93" i="33"/>
  <c r="E14" i="24" s="1"/>
  <c r="R30" i="23"/>
  <c r="F107" i="33"/>
  <c r="F15" i="24" s="1"/>
  <c r="Z33" i="23"/>
  <c r="C5" i="35"/>
  <c r="D151" i="33"/>
  <c r="D20" i="24" s="1"/>
  <c r="D193" i="33"/>
  <c r="D23" i="24" s="1"/>
  <c r="T58" i="23"/>
  <c r="T59" i="23" s="1"/>
  <c r="Y63" i="23"/>
  <c r="Y64" i="23" s="1"/>
  <c r="E283" i="33"/>
  <c r="E35" i="24" s="1"/>
  <c r="P192" i="33"/>
  <c r="P179" i="33" s="1"/>
  <c r="P22" i="24" s="1"/>
  <c r="P137" i="33"/>
  <c r="P19" i="24" s="1"/>
  <c r="G49" i="33"/>
  <c r="G9" i="24" s="1"/>
  <c r="V236" i="33"/>
  <c r="V223" i="33" s="1"/>
  <c r="V27" i="24" s="1"/>
  <c r="V209" i="33"/>
  <c r="V26" i="24" s="1"/>
  <c r="V178" i="33"/>
  <c r="V165" i="33" s="1"/>
  <c r="V21" i="24" s="1"/>
  <c r="V137" i="33"/>
  <c r="V19" i="24" s="1"/>
  <c r="AA296" i="33"/>
  <c r="V283" i="33"/>
  <c r="V35" i="24" s="1"/>
  <c r="W92" i="33"/>
  <c r="Q21" i="33"/>
  <c r="Q7" i="24" s="1"/>
  <c r="G21" i="33"/>
  <c r="G7" i="24" s="1"/>
  <c r="X6" i="33"/>
  <c r="X6" i="24" s="1"/>
  <c r="Q35" i="33"/>
  <c r="Q8" i="24" s="1"/>
  <c r="Q6" i="33"/>
  <c r="Q6" i="24" s="1"/>
  <c r="AC54" i="33"/>
  <c r="AA138" i="33"/>
  <c r="AC58" i="33"/>
  <c r="Y27" i="33"/>
  <c r="P103" i="33"/>
  <c r="AB57" i="33"/>
  <c r="Q23" i="33"/>
  <c r="Q29" i="33"/>
  <c r="Q32" i="33"/>
  <c r="Z56" i="33"/>
  <c r="Z243" i="33"/>
  <c r="X61" i="33"/>
  <c r="AC56" i="33"/>
  <c r="AC71" i="33"/>
  <c r="R85" i="33"/>
  <c r="T85" i="33" s="1"/>
  <c r="T99" i="33"/>
  <c r="AA214" i="33"/>
  <c r="AB55" i="33"/>
  <c r="X57" i="33"/>
  <c r="AA211" i="33"/>
  <c r="Z292" i="33"/>
  <c r="Q22" i="33"/>
  <c r="Z26" i="33"/>
  <c r="V104" i="33"/>
  <c r="AA104" i="33" s="1"/>
  <c r="Y292" i="33"/>
  <c r="Y54" i="33"/>
  <c r="Y71" i="33"/>
  <c r="V176" i="33"/>
  <c r="AA176" i="33" s="1"/>
  <c r="V187" i="33"/>
  <c r="AA187" i="33" s="1"/>
  <c r="G213" i="33"/>
  <c r="AB213" i="33" s="1"/>
  <c r="AC29" i="33"/>
  <c r="AC61" i="33"/>
  <c r="P184" i="33"/>
  <c r="AC25" i="33"/>
  <c r="AC33" i="33"/>
  <c r="L90" i="33"/>
  <c r="L104" i="33" s="1"/>
  <c r="L118" i="33" s="1"/>
  <c r="L132" i="33" s="1"/>
  <c r="P112" i="33"/>
  <c r="AA218" i="33"/>
  <c r="Q28" i="33"/>
  <c r="U30" i="33"/>
  <c r="L87" i="33"/>
  <c r="L101" i="33" s="1"/>
  <c r="L115" i="33" s="1"/>
  <c r="L129" i="33" s="1"/>
  <c r="P182" i="33"/>
  <c r="AC248" i="33"/>
  <c r="G78" i="33"/>
  <c r="U29" i="33"/>
  <c r="U27" i="33"/>
  <c r="Y29" i="33"/>
  <c r="Y61" i="33"/>
  <c r="T102" i="33"/>
  <c r="AA216" i="33"/>
  <c r="AA219" i="33"/>
  <c r="AA215" i="33"/>
  <c r="U23" i="33"/>
  <c r="Q27" i="33"/>
  <c r="Y248" i="33"/>
  <c r="Y26" i="33"/>
  <c r="AC30" i="33"/>
  <c r="L83" i="33"/>
  <c r="L97" i="33" s="1"/>
  <c r="L111" i="33" s="1"/>
  <c r="L125" i="33" s="1"/>
  <c r="P117" i="33"/>
  <c r="V164" i="33"/>
  <c r="S290" i="33"/>
  <c r="T290" i="33"/>
  <c r="AA222" i="33"/>
  <c r="AA150" i="33"/>
  <c r="V192" i="33"/>
  <c r="V179" i="33" s="1"/>
  <c r="V22" i="24" s="1"/>
  <c r="V202" i="33"/>
  <c r="AA202" i="33" s="1"/>
  <c r="AA160" i="33"/>
  <c r="AA221" i="33"/>
  <c r="V83" i="33"/>
  <c r="V125" i="33" s="1"/>
  <c r="AA125" i="33" s="1"/>
  <c r="V166" i="33"/>
  <c r="AA166" i="33" s="1"/>
  <c r="AA213" i="33"/>
  <c r="AA241" i="33"/>
  <c r="AA243" i="33"/>
  <c r="AA249" i="33"/>
  <c r="V274" i="33"/>
  <c r="AA274" i="33" s="1"/>
  <c r="AA76" i="33"/>
  <c r="V118" i="33"/>
  <c r="AA118" i="33" s="1"/>
  <c r="V258" i="33"/>
  <c r="AA258" i="33" s="1"/>
  <c r="V278" i="33"/>
  <c r="AA278" i="33" s="1"/>
  <c r="V263" i="33"/>
  <c r="AA263" i="33" s="1"/>
  <c r="AA145" i="33"/>
  <c r="V152" i="33"/>
  <c r="AA212" i="33"/>
  <c r="AA220" i="33"/>
  <c r="AA244" i="33"/>
  <c r="V269" i="33"/>
  <c r="AA269" i="33" s="1"/>
  <c r="V271" i="33"/>
  <c r="AA271" i="33" s="1"/>
  <c r="Z97" i="33"/>
  <c r="R90" i="33"/>
  <c r="L148" i="33" s="1"/>
  <c r="L162" i="33" s="1"/>
  <c r="L176" i="33" s="1"/>
  <c r="L190" i="33" s="1"/>
  <c r="L204" i="33" s="1"/>
  <c r="F262" i="33"/>
  <c r="T67" i="33"/>
  <c r="S77" i="33"/>
  <c r="Z22" i="33"/>
  <c r="T95" i="33"/>
  <c r="S244" i="33"/>
  <c r="S25" i="33"/>
  <c r="Z32" i="33"/>
  <c r="Y50" i="33"/>
  <c r="Y52" i="33"/>
  <c r="S54" i="33"/>
  <c r="Y57" i="33"/>
  <c r="T58" i="33"/>
  <c r="T61" i="33"/>
  <c r="Y67" i="33"/>
  <c r="T73" i="33"/>
  <c r="T74" i="33"/>
  <c r="Z77" i="33"/>
  <c r="L82" i="33"/>
  <c r="L96" i="33" s="1"/>
  <c r="L110" i="33" s="1"/>
  <c r="L124" i="33" s="1"/>
  <c r="Z95" i="33"/>
  <c r="S50" i="33"/>
  <c r="T57" i="33"/>
  <c r="S23" i="33"/>
  <c r="Y31" i="33"/>
  <c r="T50" i="33"/>
  <c r="R88" i="33"/>
  <c r="Y88" i="33" s="1"/>
  <c r="S58" i="33"/>
  <c r="Y69" i="33"/>
  <c r="S74" i="33"/>
  <c r="Z23" i="33"/>
  <c r="Y24" i="33"/>
  <c r="S26" i="33"/>
  <c r="AC52" i="33"/>
  <c r="Y53" i="33"/>
  <c r="T54" i="33"/>
  <c r="Y60" i="33"/>
  <c r="AC67" i="33"/>
  <c r="AC76" i="33"/>
  <c r="Y244" i="33"/>
  <c r="S248" i="33"/>
  <c r="S22" i="33"/>
  <c r="T69" i="33"/>
  <c r="S76" i="33"/>
  <c r="Y22" i="33"/>
  <c r="T76" i="33"/>
  <c r="S24" i="33"/>
  <c r="T53" i="33"/>
  <c r="R118" i="33"/>
  <c r="R220" i="33" s="1"/>
  <c r="Z24" i="33"/>
  <c r="Z25" i="33"/>
  <c r="AC50" i="33"/>
  <c r="AC53" i="33"/>
  <c r="Y58" i="33"/>
  <c r="AC60" i="33"/>
  <c r="Y73" i="33"/>
  <c r="Y74" i="33"/>
  <c r="Z104" i="33"/>
  <c r="R119" i="33"/>
  <c r="R221" i="33" s="1"/>
  <c r="T248" i="33"/>
  <c r="P178" i="33"/>
  <c r="P165" i="33" s="1"/>
  <c r="P21" i="24" s="1"/>
  <c r="P164" i="33"/>
  <c r="P151" i="33" s="1"/>
  <c r="P20" i="24" s="1"/>
  <c r="P91" i="33"/>
  <c r="P133" i="33" s="1"/>
  <c r="P153" i="33"/>
  <c r="P195" i="33" s="1"/>
  <c r="P211" i="33" s="1"/>
  <c r="P225" i="33" s="1"/>
  <c r="P181" i="33"/>
  <c r="X49" i="33"/>
  <c r="X9" i="24" s="1"/>
  <c r="W106" i="33"/>
  <c r="W93" i="33" s="1"/>
  <c r="W14" i="24" s="1"/>
  <c r="Q49" i="33"/>
  <c r="Q9" i="24" s="1"/>
  <c r="W39" i="33"/>
  <c r="U53" i="33"/>
  <c r="G111" i="33"/>
  <c r="U125" i="33" s="1"/>
  <c r="AB69" i="33"/>
  <c r="X46" i="33"/>
  <c r="G87" i="33"/>
  <c r="X87" i="33" s="1"/>
  <c r="U25" i="33"/>
  <c r="Q26" i="33"/>
  <c r="AC26" i="33"/>
  <c r="U28" i="33"/>
  <c r="U32" i="33"/>
  <c r="X53" i="33"/>
  <c r="AB73" i="33"/>
  <c r="AC22" i="33"/>
  <c r="AC27" i="33"/>
  <c r="Q30" i="33"/>
  <c r="AC31" i="33"/>
  <c r="X42" i="33"/>
  <c r="AB53" i="33"/>
  <c r="W66" i="33"/>
  <c r="U26" i="33"/>
  <c r="AC28" i="33"/>
  <c r="Q31" i="33"/>
  <c r="U33" i="33"/>
  <c r="W108" i="33"/>
  <c r="Q24" i="33"/>
  <c r="U24" i="33"/>
  <c r="W50" i="33"/>
  <c r="U56" i="33"/>
  <c r="W58" i="33"/>
  <c r="U60" i="33"/>
  <c r="AC24" i="33"/>
  <c r="Q33" i="33"/>
  <c r="U22" i="33"/>
  <c r="AC23" i="33"/>
  <c r="Q25" i="33"/>
  <c r="U31" i="33"/>
  <c r="AC32" i="33"/>
  <c r="U46" i="33"/>
  <c r="W94" i="33"/>
  <c r="G115" i="33"/>
  <c r="U129" i="33" s="1"/>
  <c r="U44" i="33"/>
  <c r="U58" i="33"/>
  <c r="X44" i="33"/>
  <c r="N44" i="33"/>
  <c r="W44" i="33"/>
  <c r="R128" i="33"/>
  <c r="L144" i="33"/>
  <c r="L158" i="33" s="1"/>
  <c r="L172" i="33" s="1"/>
  <c r="L186" i="33" s="1"/>
  <c r="L200" i="33" s="1"/>
  <c r="AC86" i="33"/>
  <c r="T86" i="33"/>
  <c r="Y86" i="33"/>
  <c r="Z86" i="33"/>
  <c r="S86" i="33"/>
  <c r="R100" i="33"/>
  <c r="Q97" i="33"/>
  <c r="Q83" i="33"/>
  <c r="Q125" i="33" s="1"/>
  <c r="Q111" i="33"/>
  <c r="U36" i="33"/>
  <c r="U50" i="33"/>
  <c r="X36" i="33"/>
  <c r="N36" i="33"/>
  <c r="W36" i="33"/>
  <c r="Q68" i="33"/>
  <c r="Q38" i="33"/>
  <c r="W257" i="33"/>
  <c r="W271" i="33"/>
  <c r="W287" i="33"/>
  <c r="W227" i="33"/>
  <c r="W213" i="33"/>
  <c r="W169" i="33"/>
  <c r="W197" i="33"/>
  <c r="W141" i="33"/>
  <c r="W111" i="33"/>
  <c r="W125" i="33"/>
  <c r="W83" i="33"/>
  <c r="W243" i="33"/>
  <c r="W97" i="33"/>
  <c r="W69" i="33"/>
  <c r="W183" i="33"/>
  <c r="W278" i="33"/>
  <c r="W250" i="33"/>
  <c r="W264" i="33"/>
  <c r="W234" i="33"/>
  <c r="W220" i="33"/>
  <c r="W190" i="33"/>
  <c r="W176" i="33"/>
  <c r="W204" i="33"/>
  <c r="W162" i="33"/>
  <c r="W148" i="33"/>
  <c r="W132" i="33"/>
  <c r="W118" i="33"/>
  <c r="W104" i="33"/>
  <c r="W76" i="33"/>
  <c r="W294" i="33"/>
  <c r="W90" i="33"/>
  <c r="T30" i="33"/>
  <c r="S30" i="33"/>
  <c r="G293" i="33"/>
  <c r="G249" i="33"/>
  <c r="G219" i="33"/>
  <c r="G147" i="33"/>
  <c r="G75" i="33"/>
  <c r="AB59" i="33"/>
  <c r="X59" i="33"/>
  <c r="L249" i="33"/>
  <c r="L263" i="33" s="1"/>
  <c r="L277" i="33" s="1"/>
  <c r="L89" i="33"/>
  <c r="L103" i="33" s="1"/>
  <c r="L117" i="33" s="1"/>
  <c r="L131" i="33" s="1"/>
  <c r="G118" i="33"/>
  <c r="G90" i="33"/>
  <c r="M76" i="33"/>
  <c r="M90" i="33" s="1"/>
  <c r="M104" i="33" s="1"/>
  <c r="M118" i="33" s="1"/>
  <c r="M132" i="33" s="1"/>
  <c r="U76" i="33"/>
  <c r="Q66" i="33"/>
  <c r="Q50" i="33"/>
  <c r="W276" i="33"/>
  <c r="W248" i="33"/>
  <c r="W232" i="33"/>
  <c r="W188" i="33"/>
  <c r="W292" i="33"/>
  <c r="W218" i="33"/>
  <c r="W146" i="33"/>
  <c r="W262" i="33"/>
  <c r="W160" i="33"/>
  <c r="W130" i="33"/>
  <c r="W116" i="33"/>
  <c r="W174" i="33"/>
  <c r="W102" i="33"/>
  <c r="W88" i="33"/>
  <c r="AC51" i="33"/>
  <c r="T51" i="33"/>
  <c r="S51" i="33"/>
  <c r="Y51" i="33"/>
  <c r="Q52" i="33"/>
  <c r="F259" i="33"/>
  <c r="F273" i="33"/>
  <c r="Z98" i="33"/>
  <c r="AC70" i="33"/>
  <c r="S70" i="33"/>
  <c r="T70" i="33"/>
  <c r="R112" i="33"/>
  <c r="Y70" i="33"/>
  <c r="W260" i="33"/>
  <c r="W290" i="33"/>
  <c r="W246" i="33"/>
  <c r="W230" i="33"/>
  <c r="W172" i="33"/>
  <c r="W186" i="33"/>
  <c r="W216" i="33"/>
  <c r="W200" i="33"/>
  <c r="W128" i="33"/>
  <c r="W114" i="33"/>
  <c r="W100" i="33"/>
  <c r="W144" i="33"/>
  <c r="W72" i="33"/>
  <c r="W158" i="33"/>
  <c r="T28" i="33"/>
  <c r="S28" i="33"/>
  <c r="W40" i="33"/>
  <c r="X40" i="33"/>
  <c r="N40" i="33"/>
  <c r="U40" i="33"/>
  <c r="U54" i="33"/>
  <c r="G284" i="33"/>
  <c r="G240" i="33"/>
  <c r="G138" i="33"/>
  <c r="G66" i="33"/>
  <c r="AB50" i="33"/>
  <c r="G210" i="33"/>
  <c r="Q57" i="33"/>
  <c r="AC59" i="33"/>
  <c r="T59" i="33"/>
  <c r="S59" i="33"/>
  <c r="Y59" i="33"/>
  <c r="R108" i="33"/>
  <c r="Z94" i="33"/>
  <c r="T94" i="33"/>
  <c r="AC66" i="33"/>
  <c r="T66" i="33"/>
  <c r="S66" i="33"/>
  <c r="R80" i="33"/>
  <c r="Y66" i="33"/>
  <c r="V112" i="33"/>
  <c r="AA112" i="33" s="1"/>
  <c r="V98" i="33"/>
  <c r="AA98" i="33" s="1"/>
  <c r="AA70" i="33"/>
  <c r="L246" i="33"/>
  <c r="L260" i="33" s="1"/>
  <c r="L274" i="33" s="1"/>
  <c r="L86" i="33"/>
  <c r="L100" i="33" s="1"/>
  <c r="L114" i="33" s="1"/>
  <c r="L128" i="33" s="1"/>
  <c r="R84" i="33"/>
  <c r="V171" i="33"/>
  <c r="AA171" i="33" s="1"/>
  <c r="AA143" i="33"/>
  <c r="V157" i="33"/>
  <c r="V185" i="33"/>
  <c r="AA185" i="33" s="1"/>
  <c r="Z174" i="33"/>
  <c r="T146" i="33"/>
  <c r="S146" i="33"/>
  <c r="W202" i="33"/>
  <c r="R261" i="33"/>
  <c r="T247" i="33"/>
  <c r="Y247" i="33"/>
  <c r="Z275" i="33"/>
  <c r="S247" i="33"/>
  <c r="AC247" i="33"/>
  <c r="T275" i="33"/>
  <c r="Z247" i="33"/>
  <c r="W288" i="33"/>
  <c r="W272" i="33"/>
  <c r="W244" i="33"/>
  <c r="W258" i="33"/>
  <c r="W228" i="33"/>
  <c r="W214" i="33"/>
  <c r="W184" i="33"/>
  <c r="W198" i="33"/>
  <c r="W170" i="33"/>
  <c r="W142" i="33"/>
  <c r="W156" i="33"/>
  <c r="W126" i="33"/>
  <c r="W112" i="33"/>
  <c r="W84" i="33"/>
  <c r="W98" i="33"/>
  <c r="Q55" i="33"/>
  <c r="Q71" i="33"/>
  <c r="Y23" i="33"/>
  <c r="Y25" i="33"/>
  <c r="Y30" i="33"/>
  <c r="T31" i="33"/>
  <c r="S31" i="33"/>
  <c r="Q36" i="33"/>
  <c r="W42" i="33"/>
  <c r="U42" i="33"/>
  <c r="U59" i="33"/>
  <c r="X45" i="33"/>
  <c r="N45" i="33"/>
  <c r="W45" i="33"/>
  <c r="U52" i="33"/>
  <c r="G292" i="33"/>
  <c r="G248" i="33"/>
  <c r="G218" i="33"/>
  <c r="G146" i="33"/>
  <c r="G74" i="33"/>
  <c r="AB58" i="33"/>
  <c r="V94" i="33"/>
  <c r="AA94" i="33" s="1"/>
  <c r="AA66" i="33"/>
  <c r="V80" i="33"/>
  <c r="W70" i="33"/>
  <c r="V102" i="33"/>
  <c r="AA102" i="33" s="1"/>
  <c r="V116" i="33"/>
  <c r="AA116" i="33" s="1"/>
  <c r="V88" i="33"/>
  <c r="R117" i="33"/>
  <c r="T75" i="33"/>
  <c r="S75" i="33"/>
  <c r="T103" i="33"/>
  <c r="R89" i="33"/>
  <c r="Z103" i="33"/>
  <c r="AC75" i="33"/>
  <c r="L80" i="33"/>
  <c r="L94" i="33" s="1"/>
  <c r="L108" i="33" s="1"/>
  <c r="L122" i="33" s="1"/>
  <c r="V84" i="33"/>
  <c r="Q47" i="33"/>
  <c r="Q61" i="33"/>
  <c r="Q77" i="33"/>
  <c r="U57" i="33"/>
  <c r="U43" i="33"/>
  <c r="P113" i="33"/>
  <c r="P99" i="33"/>
  <c r="P85" i="33"/>
  <c r="P127" i="33" s="1"/>
  <c r="T33" i="33"/>
  <c r="S33" i="33"/>
  <c r="N38" i="33"/>
  <c r="W270" i="33"/>
  <c r="W226" i="33"/>
  <c r="W286" i="33"/>
  <c r="W256" i="33"/>
  <c r="W242" i="33"/>
  <c r="W182" i="33"/>
  <c r="W168" i="33"/>
  <c r="W196" i="33"/>
  <c r="W140" i="33"/>
  <c r="W124" i="33"/>
  <c r="W68" i="33"/>
  <c r="W154" i="33"/>
  <c r="W82" i="33"/>
  <c r="W96" i="33"/>
  <c r="W265" i="33"/>
  <c r="W279" i="33"/>
  <c r="W295" i="33"/>
  <c r="W235" i="33"/>
  <c r="W221" i="33"/>
  <c r="W177" i="33"/>
  <c r="W251" i="33"/>
  <c r="W205" i="33"/>
  <c r="W191" i="33"/>
  <c r="W163" i="33"/>
  <c r="W149" i="33"/>
  <c r="W119" i="33"/>
  <c r="W77" i="33"/>
  <c r="W133" i="33"/>
  <c r="W91" i="33"/>
  <c r="Z30" i="33"/>
  <c r="N47" i="33"/>
  <c r="X47" i="33"/>
  <c r="U47" i="33"/>
  <c r="G114" i="33"/>
  <c r="G86" i="33"/>
  <c r="M72" i="33"/>
  <c r="M86" i="33" s="1"/>
  <c r="M100" i="33" s="1"/>
  <c r="M114" i="33" s="1"/>
  <c r="M128" i="33" s="1"/>
  <c r="U72" i="33"/>
  <c r="AB72" i="33"/>
  <c r="W59" i="33"/>
  <c r="P101" i="33"/>
  <c r="P87" i="33"/>
  <c r="P129" i="33" s="1"/>
  <c r="P115" i="33"/>
  <c r="W74" i="33"/>
  <c r="V184" i="33"/>
  <c r="AA184" i="33" s="1"/>
  <c r="V170" i="33"/>
  <c r="AA170" i="33" s="1"/>
  <c r="AA142" i="33"/>
  <c r="W293" i="33"/>
  <c r="W263" i="33"/>
  <c r="W277" i="33"/>
  <c r="W233" i="33"/>
  <c r="W219" i="33"/>
  <c r="W203" i="33"/>
  <c r="W249" i="33"/>
  <c r="W175" i="33"/>
  <c r="W117" i="33"/>
  <c r="W103" i="33"/>
  <c r="W89" i="33"/>
  <c r="W189" i="33"/>
  <c r="W161" i="33"/>
  <c r="W147" i="33"/>
  <c r="W75" i="33"/>
  <c r="W131" i="33"/>
  <c r="T29" i="33"/>
  <c r="S29" i="33"/>
  <c r="Z33" i="33"/>
  <c r="P111" i="33"/>
  <c r="P97" i="33"/>
  <c r="P83" i="33"/>
  <c r="P125" i="33" s="1"/>
  <c r="S72" i="33"/>
  <c r="P172" i="33"/>
  <c r="P158" i="33"/>
  <c r="P200" i="33" s="1"/>
  <c r="P186" i="33"/>
  <c r="AC158" i="33"/>
  <c r="R172" i="33"/>
  <c r="S158" i="33"/>
  <c r="L216" i="33"/>
  <c r="Y158" i="33"/>
  <c r="T158" i="33"/>
  <c r="V182" i="33"/>
  <c r="AA182" i="33" s="1"/>
  <c r="V168" i="33"/>
  <c r="AA168" i="33" s="1"/>
  <c r="AA140" i="33"/>
  <c r="V154" i="33"/>
  <c r="V198" i="33"/>
  <c r="AA198" i="33" s="1"/>
  <c r="AA156" i="33"/>
  <c r="P109" i="33"/>
  <c r="P81" i="33"/>
  <c r="P123" i="33" s="1"/>
  <c r="Z70" i="33"/>
  <c r="V132" i="33"/>
  <c r="AA132" i="33" s="1"/>
  <c r="AA90" i="33"/>
  <c r="Q67" i="33"/>
  <c r="Q37" i="33"/>
  <c r="Q51" i="33"/>
  <c r="Y28" i="33"/>
  <c r="U38" i="33"/>
  <c r="G288" i="33"/>
  <c r="G214" i="33"/>
  <c r="G244" i="33"/>
  <c r="G142" i="33"/>
  <c r="G70" i="33"/>
  <c r="X54" i="33"/>
  <c r="Z59" i="33"/>
  <c r="T96" i="33"/>
  <c r="Y68" i="33"/>
  <c r="Z96" i="33"/>
  <c r="R110" i="33"/>
  <c r="R82" i="33"/>
  <c r="AC68" i="33"/>
  <c r="T68" i="33"/>
  <c r="L248" i="33"/>
  <c r="L262" i="33" s="1"/>
  <c r="L276" i="33" s="1"/>
  <c r="L88" i="33"/>
  <c r="L102" i="33" s="1"/>
  <c r="L116" i="33" s="1"/>
  <c r="L130" i="33" s="1"/>
  <c r="Q72" i="33"/>
  <c r="Q42" i="33"/>
  <c r="W275" i="33"/>
  <c r="W261" i="33"/>
  <c r="W291" i="33"/>
  <c r="W231" i="33"/>
  <c r="W201" i="33"/>
  <c r="W247" i="33"/>
  <c r="W173" i="33"/>
  <c r="W145" i="33"/>
  <c r="W159" i="33"/>
  <c r="W115" i="33"/>
  <c r="W187" i="33"/>
  <c r="W87" i="33"/>
  <c r="W217" i="33"/>
  <c r="W101" i="33"/>
  <c r="W73" i="33"/>
  <c r="Z28" i="33"/>
  <c r="T32" i="33"/>
  <c r="S32" i="33"/>
  <c r="X39" i="33"/>
  <c r="N39" i="33"/>
  <c r="U39" i="33"/>
  <c r="X41" i="33"/>
  <c r="N41" i="33"/>
  <c r="W41" i="33"/>
  <c r="U55" i="33"/>
  <c r="W43" i="33"/>
  <c r="F269" i="33"/>
  <c r="F255" i="33"/>
  <c r="F270" i="33"/>
  <c r="F256" i="33"/>
  <c r="AB54" i="33"/>
  <c r="Q56" i="33"/>
  <c r="U61" i="33"/>
  <c r="S68" i="33"/>
  <c r="L244" i="33"/>
  <c r="L258" i="33" s="1"/>
  <c r="L272" i="33" s="1"/>
  <c r="L84" i="33"/>
  <c r="L98" i="33" s="1"/>
  <c r="L112" i="33" s="1"/>
  <c r="L126" i="33" s="1"/>
  <c r="M71" i="33"/>
  <c r="M85" i="33" s="1"/>
  <c r="M99" i="33" s="1"/>
  <c r="M113" i="33" s="1"/>
  <c r="M127" i="33" s="1"/>
  <c r="G113" i="33"/>
  <c r="G85" i="33"/>
  <c r="V114" i="33"/>
  <c r="AA114" i="33" s="1"/>
  <c r="V100" i="33"/>
  <c r="AA100" i="33" s="1"/>
  <c r="V86" i="33"/>
  <c r="AA74" i="33"/>
  <c r="Z75" i="33"/>
  <c r="W86" i="33"/>
  <c r="T98" i="33"/>
  <c r="W155" i="33"/>
  <c r="Z158" i="33"/>
  <c r="R200" i="33"/>
  <c r="W285" i="33"/>
  <c r="W269" i="33"/>
  <c r="W255" i="33"/>
  <c r="W195" i="33"/>
  <c r="W241" i="33"/>
  <c r="W153" i="33"/>
  <c r="W211" i="33"/>
  <c r="W181" i="33"/>
  <c r="W225" i="33"/>
  <c r="W109" i="33"/>
  <c r="W95" i="33"/>
  <c r="W81" i="33"/>
  <c r="W139" i="33"/>
  <c r="W67" i="33"/>
  <c r="W167" i="33"/>
  <c r="Q45" i="33"/>
  <c r="Q75" i="33"/>
  <c r="Q59" i="33"/>
  <c r="Q39" i="33"/>
  <c r="Q53" i="33"/>
  <c r="Q76" i="33"/>
  <c r="Q46" i="33"/>
  <c r="Y33" i="33"/>
  <c r="Z51" i="33"/>
  <c r="Y55" i="33"/>
  <c r="AC55" i="33"/>
  <c r="T55" i="33"/>
  <c r="R114" i="33"/>
  <c r="T100" i="33"/>
  <c r="Y72" i="33"/>
  <c r="Z100" i="33"/>
  <c r="AC72" i="33"/>
  <c r="T72" i="33"/>
  <c r="W123" i="33"/>
  <c r="W284" i="33"/>
  <c r="W268" i="33"/>
  <c r="W254" i="33"/>
  <c r="W240" i="33"/>
  <c r="W180" i="33"/>
  <c r="W210" i="33"/>
  <c r="W166" i="33"/>
  <c r="W138" i="33"/>
  <c r="W152" i="33"/>
  <c r="W122" i="33"/>
  <c r="W224" i="33"/>
  <c r="W80" i="33"/>
  <c r="Q74" i="33"/>
  <c r="Q58" i="33"/>
  <c r="U51" i="33"/>
  <c r="X37" i="33"/>
  <c r="N37" i="33"/>
  <c r="W37" i="33"/>
  <c r="S55" i="33"/>
  <c r="Z66" i="33"/>
  <c r="Q73" i="33"/>
  <c r="W105" i="33"/>
  <c r="W110" i="33"/>
  <c r="Q54" i="33"/>
  <c r="Q70" i="33"/>
  <c r="W289" i="33"/>
  <c r="W245" i="33"/>
  <c r="W229" i="33"/>
  <c r="W259" i="33"/>
  <c r="W199" i="33"/>
  <c r="W157" i="33"/>
  <c r="W273" i="33"/>
  <c r="W185" i="33"/>
  <c r="W143" i="33"/>
  <c r="W113" i="33"/>
  <c r="W85" i="33"/>
  <c r="W127" i="33"/>
  <c r="W215" i="33"/>
  <c r="W99" i="33"/>
  <c r="W71" i="33"/>
  <c r="T27" i="33"/>
  <c r="S27" i="33"/>
  <c r="X38" i="33"/>
  <c r="X43" i="33"/>
  <c r="U45" i="33"/>
  <c r="N46" i="33"/>
  <c r="G285" i="33"/>
  <c r="G211" i="33"/>
  <c r="G139" i="33"/>
  <c r="G241" i="33"/>
  <c r="AB51" i="33"/>
  <c r="X51" i="33"/>
  <c r="Z55" i="33"/>
  <c r="T56" i="33"/>
  <c r="S56" i="33"/>
  <c r="F263" i="33"/>
  <c r="F277" i="33"/>
  <c r="F264" i="33"/>
  <c r="F278" i="33"/>
  <c r="G67" i="33"/>
  <c r="V110" i="33"/>
  <c r="AA110" i="33" s="1"/>
  <c r="V82" i="33"/>
  <c r="V96" i="33"/>
  <c r="AA96" i="33" s="1"/>
  <c r="AB71" i="33"/>
  <c r="Z72" i="33"/>
  <c r="L91" i="33"/>
  <c r="L105" i="33" s="1"/>
  <c r="L119" i="33" s="1"/>
  <c r="L133" i="33" s="1"/>
  <c r="V108" i="33"/>
  <c r="AA108" i="33" s="1"/>
  <c r="P175" i="33"/>
  <c r="P161" i="33"/>
  <c r="P203" i="33" s="1"/>
  <c r="P189" i="33"/>
  <c r="T177" i="33"/>
  <c r="Z177" i="33"/>
  <c r="Y149" i="33"/>
  <c r="Z149" i="33"/>
  <c r="R163" i="33"/>
  <c r="T149" i="33"/>
  <c r="AC149" i="33"/>
  <c r="R191" i="33"/>
  <c r="W212" i="33"/>
  <c r="G286" i="33"/>
  <c r="G242" i="33"/>
  <c r="G140" i="33"/>
  <c r="G212" i="33"/>
  <c r="W52" i="33"/>
  <c r="F271" i="33"/>
  <c r="F257" i="33"/>
  <c r="Z57" i="33"/>
  <c r="G250" i="33"/>
  <c r="G220" i="33"/>
  <c r="G148" i="33"/>
  <c r="W60" i="33"/>
  <c r="F279" i="33"/>
  <c r="F265" i="33"/>
  <c r="P108" i="33"/>
  <c r="P80" i="33"/>
  <c r="P122" i="33" s="1"/>
  <c r="L241" i="33"/>
  <c r="L255" i="33" s="1"/>
  <c r="L269" i="33" s="1"/>
  <c r="L81" i="33"/>
  <c r="L95" i="33" s="1"/>
  <c r="L109" i="33" s="1"/>
  <c r="L123" i="33" s="1"/>
  <c r="V95" i="33"/>
  <c r="AA95" i="33" s="1"/>
  <c r="V81" i="33"/>
  <c r="S83" i="33"/>
  <c r="Z83" i="33"/>
  <c r="R125" i="33"/>
  <c r="Z69" i="33"/>
  <c r="L245" i="33"/>
  <c r="L259" i="33" s="1"/>
  <c r="L273" i="33" s="1"/>
  <c r="L85" i="33"/>
  <c r="L99" i="33" s="1"/>
  <c r="L113" i="33" s="1"/>
  <c r="L127" i="33" s="1"/>
  <c r="V85" i="33"/>
  <c r="V113" i="33"/>
  <c r="AA113" i="33" s="1"/>
  <c r="R115" i="33"/>
  <c r="T101" i="33"/>
  <c r="R87" i="33"/>
  <c r="Z73" i="33"/>
  <c r="V119" i="33"/>
  <c r="AA119" i="33" s="1"/>
  <c r="V105" i="33"/>
  <c r="AA105" i="33" s="1"/>
  <c r="P166" i="33"/>
  <c r="P180" i="33"/>
  <c r="Z273" i="33"/>
  <c r="T273" i="33"/>
  <c r="AC245" i="33"/>
  <c r="R259" i="33"/>
  <c r="T245" i="33"/>
  <c r="Y245" i="33"/>
  <c r="Z245" i="33"/>
  <c r="V280" i="33"/>
  <c r="V267" i="33" s="1"/>
  <c r="V32" i="24" s="1"/>
  <c r="AA252" i="33"/>
  <c r="AA239" i="33" s="1"/>
  <c r="AA30" i="24" s="1"/>
  <c r="V266" i="33"/>
  <c r="V253" i="33" s="1"/>
  <c r="V31" i="24" s="1"/>
  <c r="W280" i="33"/>
  <c r="W266" i="33"/>
  <c r="W296" i="33"/>
  <c r="W236" i="33"/>
  <c r="W223" i="33" s="1"/>
  <c r="W27" i="24" s="1"/>
  <c r="W192" i="33"/>
  <c r="W222" i="33"/>
  <c r="W178" i="33"/>
  <c r="W252" i="33"/>
  <c r="W239" i="33" s="1"/>
  <c r="W30" i="24" s="1"/>
  <c r="W134" i="33"/>
  <c r="W150" i="33"/>
  <c r="W206" i="33"/>
  <c r="W164" i="33"/>
  <c r="W120" i="33"/>
  <c r="W107" i="33" s="1"/>
  <c r="W15" i="24" s="1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X52" i="33"/>
  <c r="G243" i="33"/>
  <c r="G287" i="33"/>
  <c r="W53" i="33"/>
  <c r="F272" i="33"/>
  <c r="F258" i="33"/>
  <c r="AB56" i="33"/>
  <c r="S57" i="33"/>
  <c r="X60" i="33"/>
  <c r="G295" i="33"/>
  <c r="G221" i="33"/>
  <c r="G251" i="33"/>
  <c r="W61" i="33"/>
  <c r="G222" i="33"/>
  <c r="G209" i="33" s="1"/>
  <c r="G26" i="24" s="1"/>
  <c r="G296" i="33"/>
  <c r="G283" i="33" s="1"/>
  <c r="G35" i="24" s="1"/>
  <c r="G252" i="33"/>
  <c r="G239" i="33" s="1"/>
  <c r="G30" i="24" s="1"/>
  <c r="G150" i="33"/>
  <c r="G137" i="33" s="1"/>
  <c r="G19" i="24" s="1"/>
  <c r="G68" i="33"/>
  <c r="S69" i="33"/>
  <c r="AA69" i="33"/>
  <c r="S73" i="33"/>
  <c r="AA73" i="33"/>
  <c r="G77" i="33"/>
  <c r="Y77" i="33"/>
  <c r="G83" i="33"/>
  <c r="Y83" i="33"/>
  <c r="R97" i="33"/>
  <c r="P116" i="33"/>
  <c r="G141" i="33"/>
  <c r="P187" i="33"/>
  <c r="P173" i="33"/>
  <c r="P159" i="33"/>
  <c r="P201" i="33" s="1"/>
  <c r="AA155" i="33"/>
  <c r="V197" i="33"/>
  <c r="AA197" i="33" s="1"/>
  <c r="T269" i="33"/>
  <c r="Z269" i="33"/>
  <c r="R255" i="33"/>
  <c r="AC241" i="33"/>
  <c r="S241" i="33"/>
  <c r="T241" i="33"/>
  <c r="Z241" i="33"/>
  <c r="Y241" i="33"/>
  <c r="S245" i="33"/>
  <c r="T278" i="33"/>
  <c r="Z278" i="33"/>
  <c r="S250" i="33"/>
  <c r="Z250" i="33"/>
  <c r="AC250" i="33"/>
  <c r="R264" i="33"/>
  <c r="Y250" i="33"/>
  <c r="T250" i="33"/>
  <c r="Z52" i="33"/>
  <c r="G289" i="33"/>
  <c r="G245" i="33"/>
  <c r="G215" i="33"/>
  <c r="G143" i="33"/>
  <c r="W55" i="33"/>
  <c r="Z60" i="33"/>
  <c r="AC69" i="33"/>
  <c r="AA77" i="33"/>
  <c r="AC83" i="33"/>
  <c r="T97" i="33"/>
  <c r="R186" i="33"/>
  <c r="S144" i="33"/>
  <c r="Y144" i="33"/>
  <c r="T144" i="33"/>
  <c r="Z172" i="33"/>
  <c r="Z144" i="33"/>
  <c r="T172" i="33"/>
  <c r="AC144" i="33"/>
  <c r="W22" i="33"/>
  <c r="W23" i="33"/>
  <c r="W24" i="33"/>
  <c r="W25" i="33"/>
  <c r="W26" i="33"/>
  <c r="W27" i="33"/>
  <c r="W28" i="33"/>
  <c r="W29" i="33"/>
  <c r="W30" i="33"/>
  <c r="W31" i="33"/>
  <c r="W32" i="33"/>
  <c r="W33" i="33"/>
  <c r="X21" i="33"/>
  <c r="X7" i="24" s="1"/>
  <c r="S52" i="33"/>
  <c r="Z53" i="33"/>
  <c r="X55" i="33"/>
  <c r="G246" i="33"/>
  <c r="G290" i="33"/>
  <c r="G216" i="33"/>
  <c r="G144" i="33"/>
  <c r="W56" i="33"/>
  <c r="F261" i="33"/>
  <c r="F275" i="33"/>
  <c r="S60" i="33"/>
  <c r="Z61" i="33"/>
  <c r="R211" i="33"/>
  <c r="S109" i="33"/>
  <c r="Z109" i="33"/>
  <c r="Y109" i="33"/>
  <c r="T109" i="33"/>
  <c r="Z67" i="33"/>
  <c r="P110" i="33"/>
  <c r="P96" i="33"/>
  <c r="R113" i="33"/>
  <c r="Z99" i="33"/>
  <c r="Z71" i="33"/>
  <c r="P114" i="33"/>
  <c r="P100" i="33"/>
  <c r="V103" i="33"/>
  <c r="AA103" i="33" s="1"/>
  <c r="V89" i="33"/>
  <c r="AA75" i="33"/>
  <c r="AC77" i="33"/>
  <c r="V97" i="33"/>
  <c r="AA97" i="33" s="1"/>
  <c r="P98" i="33"/>
  <c r="V101" i="33"/>
  <c r="AA101" i="33" s="1"/>
  <c r="V172" i="33"/>
  <c r="AA172" i="33" s="1"/>
  <c r="V158" i="33"/>
  <c r="AA144" i="33"/>
  <c r="V186" i="33"/>
  <c r="AA186" i="33" s="1"/>
  <c r="AA159" i="33"/>
  <c r="V201" i="33"/>
  <c r="AA201" i="33" s="1"/>
  <c r="V175" i="33"/>
  <c r="AA175" i="33" s="1"/>
  <c r="V189" i="33"/>
  <c r="AA189" i="33" s="1"/>
  <c r="V161" i="33"/>
  <c r="AA147" i="33"/>
  <c r="P162" i="33"/>
  <c r="P204" i="33" s="1"/>
  <c r="P190" i="33"/>
  <c r="P176" i="33"/>
  <c r="G149" i="33"/>
  <c r="P156" i="33"/>
  <c r="P198" i="33" s="1"/>
  <c r="V231" i="33"/>
  <c r="AA231" i="33" s="1"/>
  <c r="AA217" i="33"/>
  <c r="F274" i="33"/>
  <c r="F260" i="33"/>
  <c r="U69" i="33"/>
  <c r="U73" i="33"/>
  <c r="AC73" i="33"/>
  <c r="V91" i="33"/>
  <c r="P94" i="33"/>
  <c r="R111" i="33"/>
  <c r="P284" i="33"/>
  <c r="P240" i="33"/>
  <c r="P210" i="33"/>
  <c r="P224" i="33" s="1"/>
  <c r="G294" i="33"/>
  <c r="F268" i="33"/>
  <c r="F254" i="33"/>
  <c r="AB52" i="33"/>
  <c r="X56" i="33"/>
  <c r="G291" i="33"/>
  <c r="G247" i="33"/>
  <c r="G217" i="33"/>
  <c r="G145" i="33"/>
  <c r="W57" i="33"/>
  <c r="AB60" i="33"/>
  <c r="S67" i="33"/>
  <c r="AA67" i="33"/>
  <c r="M69" i="33"/>
  <c r="M83" i="33" s="1"/>
  <c r="M97" i="33" s="1"/>
  <c r="M111" i="33" s="1"/>
  <c r="M125" i="33" s="1"/>
  <c r="S71" i="33"/>
  <c r="AA71" i="33"/>
  <c r="P118" i="33"/>
  <c r="P104" i="33"/>
  <c r="Z105" i="33"/>
  <c r="R91" i="33"/>
  <c r="T77" i="33"/>
  <c r="R81" i="33"/>
  <c r="T83" i="33"/>
  <c r="V87" i="33"/>
  <c r="V99" i="33"/>
  <c r="AA99" i="33" s="1"/>
  <c r="P102" i="33"/>
  <c r="V167" i="33"/>
  <c r="AA167" i="33" s="1"/>
  <c r="AA139" i="33"/>
  <c r="V153" i="33"/>
  <c r="V181" i="33"/>
  <c r="AA181" i="33" s="1"/>
  <c r="Z74" i="33"/>
  <c r="R116" i="33"/>
  <c r="P119" i="33"/>
  <c r="P287" i="33"/>
  <c r="P213" i="33"/>
  <c r="P227" i="33" s="1"/>
  <c r="P243" i="33"/>
  <c r="T277" i="33"/>
  <c r="R263" i="33"/>
  <c r="Z277" i="33"/>
  <c r="AC249" i="33"/>
  <c r="S249" i="33"/>
  <c r="T249" i="33"/>
  <c r="Y249" i="33"/>
  <c r="AC74" i="33"/>
  <c r="Y76" i="33"/>
  <c r="V183" i="33"/>
  <c r="AA183" i="33" s="1"/>
  <c r="AA141" i="33"/>
  <c r="Z76" i="33"/>
  <c r="V163" i="33"/>
  <c r="V191" i="33"/>
  <c r="AA191" i="33" s="1"/>
  <c r="V177" i="33"/>
  <c r="AA177" i="33" s="1"/>
  <c r="AA149" i="33"/>
  <c r="V169" i="33"/>
  <c r="AA169" i="33" s="1"/>
  <c r="V262" i="33"/>
  <c r="AA262" i="33" s="1"/>
  <c r="V276" i="33"/>
  <c r="AA276" i="33" s="1"/>
  <c r="AA248" i="33"/>
  <c r="P169" i="33"/>
  <c r="P183" i="33"/>
  <c r="V188" i="33"/>
  <c r="AA188" i="33" s="1"/>
  <c r="V174" i="33"/>
  <c r="AA174" i="33" s="1"/>
  <c r="V173" i="33"/>
  <c r="AA173" i="33" s="1"/>
  <c r="Z279" i="33"/>
  <c r="AC251" i="33"/>
  <c r="T251" i="33"/>
  <c r="Y251" i="33"/>
  <c r="T279" i="33"/>
  <c r="S251" i="33"/>
  <c r="R265" i="33"/>
  <c r="Z251" i="33"/>
  <c r="P157" i="33"/>
  <c r="P199" i="33" s="1"/>
  <c r="P185" i="33"/>
  <c r="P171" i="33"/>
  <c r="P174" i="33"/>
  <c r="P188" i="33"/>
  <c r="AA148" i="33"/>
  <c r="V162" i="33"/>
  <c r="P160" i="33"/>
  <c r="P202" i="33" s="1"/>
  <c r="T270" i="33"/>
  <c r="S242" i="33"/>
  <c r="R256" i="33"/>
  <c r="AC242" i="33"/>
  <c r="T242" i="33"/>
  <c r="Y242" i="33"/>
  <c r="Z270" i="33"/>
  <c r="AA146" i="33"/>
  <c r="P177" i="33"/>
  <c r="P191" i="33"/>
  <c r="P163" i="33"/>
  <c r="P205" i="33" s="1"/>
  <c r="P154" i="33"/>
  <c r="P196" i="33" s="1"/>
  <c r="V224" i="33"/>
  <c r="AA224" i="33" s="1"/>
  <c r="V275" i="33"/>
  <c r="AA275" i="33" s="1"/>
  <c r="AA247" i="33"/>
  <c r="V261" i="33"/>
  <c r="AA261" i="33" s="1"/>
  <c r="V268" i="33"/>
  <c r="AA268" i="33" s="1"/>
  <c r="V254" i="33"/>
  <c r="AA254" i="33" s="1"/>
  <c r="AA240" i="33"/>
  <c r="T274" i="33"/>
  <c r="R260" i="33"/>
  <c r="S246" i="33"/>
  <c r="Y246" i="33"/>
  <c r="Z246" i="33"/>
  <c r="Z274" i="33"/>
  <c r="T246" i="33"/>
  <c r="Z268" i="33"/>
  <c r="R254" i="33"/>
  <c r="T268" i="33"/>
  <c r="S240" i="33"/>
  <c r="AC240" i="33"/>
  <c r="V259" i="33"/>
  <c r="AA259" i="33" s="1"/>
  <c r="V273" i="33"/>
  <c r="AA273" i="33" s="1"/>
  <c r="Y240" i="33"/>
  <c r="Z240" i="33"/>
  <c r="Y295" i="33"/>
  <c r="AC295" i="33"/>
  <c r="T295" i="33"/>
  <c r="S295" i="33"/>
  <c r="R258" i="33"/>
  <c r="Z272" i="33"/>
  <c r="T272" i="33"/>
  <c r="AC244" i="33"/>
  <c r="T244" i="33"/>
  <c r="V265" i="33"/>
  <c r="AA265" i="33" s="1"/>
  <c r="V279" i="33"/>
  <c r="AA279" i="33" s="1"/>
  <c r="Z271" i="33"/>
  <c r="T271" i="33"/>
  <c r="R257" i="33"/>
  <c r="Y243" i="33"/>
  <c r="AC243" i="33"/>
  <c r="T243" i="33"/>
  <c r="AA251" i="33"/>
  <c r="V256" i="33"/>
  <c r="AA256" i="33" s="1"/>
  <c r="AA242" i="33"/>
  <c r="AA246" i="33"/>
  <c r="AA250" i="33"/>
  <c r="Z276" i="33"/>
  <c r="R262" i="33"/>
  <c r="Z248" i="33"/>
  <c r="T292" i="33"/>
  <c r="S292" i="33"/>
  <c r="Z290" i="33"/>
  <c r="L19" i="23"/>
  <c r="X61" i="23"/>
  <c r="P61" i="23"/>
  <c r="M61" i="23"/>
  <c r="V61" i="23"/>
  <c r="L61" i="23"/>
  <c r="E61" i="23"/>
  <c r="D61" i="23"/>
  <c r="Q61" i="23"/>
  <c r="D72" i="23"/>
  <c r="AH22" i="23"/>
  <c r="R56" i="23"/>
  <c r="T55" i="23"/>
  <c r="T56" i="23" s="1"/>
  <c r="AB13" i="23"/>
  <c r="AB14" i="23" s="1"/>
  <c r="AG42" i="23"/>
  <c r="C6" i="35" s="1"/>
  <c r="AH48" i="23"/>
  <c r="G53" i="23"/>
  <c r="W55" i="23"/>
  <c r="AG53" i="23"/>
  <c r="D53" i="23" s="1"/>
  <c r="AE5" i="23"/>
  <c r="AE4" i="23" s="1"/>
  <c r="AC13" i="23"/>
  <c r="AC14" i="23" s="1"/>
  <c r="Z31" i="23"/>
  <c r="U33" i="23"/>
  <c r="U34" i="23" s="1"/>
  <c r="F61" i="23"/>
  <c r="W67" i="23"/>
  <c r="Y66" i="23"/>
  <c r="Y67" i="23" s="1"/>
  <c r="R16" i="23"/>
  <c r="AF36" i="23"/>
  <c r="AF4" i="23" s="1"/>
  <c r="AG39" i="23"/>
  <c r="C11" i="35" s="1"/>
  <c r="G61" i="23"/>
  <c r="Z72" i="23"/>
  <c r="S74" i="23"/>
  <c r="R75" i="23"/>
  <c r="R72" i="23" s="1"/>
  <c r="AH25" i="23"/>
  <c r="AG19" i="23"/>
  <c r="V19" i="23" s="1"/>
  <c r="D19" i="23"/>
  <c r="AG51" i="23"/>
  <c r="C14" i="35" s="1"/>
  <c r="F53" i="23"/>
  <c r="AC63" i="23"/>
  <c r="AC64" i="23" s="1"/>
  <c r="AB63" i="23"/>
  <c r="AB64" i="23" s="1"/>
  <c r="E19" i="23"/>
  <c r="S55" i="23"/>
  <c r="U69" i="23"/>
  <c r="U70" i="23" s="1"/>
  <c r="AB69" i="23"/>
  <c r="AB70" i="23" s="1"/>
  <c r="AA70" i="23"/>
  <c r="W33" i="23"/>
  <c r="S58" i="23"/>
  <c r="Z66" i="23"/>
  <c r="AG48" i="23"/>
  <c r="C21" i="35" s="1"/>
  <c r="S41" i="33" l="1"/>
  <c r="AC41" i="33"/>
  <c r="AB41" i="33"/>
  <c r="R289" i="33"/>
  <c r="Y41" i="33"/>
  <c r="R143" i="33"/>
  <c r="AB36" i="33"/>
  <c r="Y36" i="33"/>
  <c r="R284" i="33"/>
  <c r="S36" i="33"/>
  <c r="AC36" i="33"/>
  <c r="R138" i="33"/>
  <c r="S39" i="33"/>
  <c r="R141" i="33"/>
  <c r="AB39" i="33"/>
  <c r="R287" i="33"/>
  <c r="Y39" i="33"/>
  <c r="AC39" i="33"/>
  <c r="Y38" i="33"/>
  <c r="S38" i="33"/>
  <c r="AC38" i="33"/>
  <c r="R286" i="33"/>
  <c r="AB38" i="33"/>
  <c r="R140" i="33"/>
  <c r="Z146" i="33"/>
  <c r="R288" i="33"/>
  <c r="R142" i="33"/>
  <c r="AC40" i="33"/>
  <c r="AB40" i="33"/>
  <c r="S40" i="33"/>
  <c r="Y40" i="33"/>
  <c r="R188" i="33"/>
  <c r="T188" i="33" s="1"/>
  <c r="AC146" i="33"/>
  <c r="T174" i="33"/>
  <c r="Y46" i="33"/>
  <c r="S46" i="33"/>
  <c r="AC46" i="33"/>
  <c r="R294" i="33"/>
  <c r="R148" i="33"/>
  <c r="AB46" i="33"/>
  <c r="S45" i="33"/>
  <c r="R293" i="33"/>
  <c r="R147" i="33"/>
  <c r="Y45" i="33"/>
  <c r="AC45" i="33"/>
  <c r="AB45" i="33"/>
  <c r="R285" i="33"/>
  <c r="Y37" i="33"/>
  <c r="R139" i="33"/>
  <c r="AC37" i="33"/>
  <c r="AB37" i="33"/>
  <c r="S37" i="33"/>
  <c r="R160" i="33"/>
  <c r="R174" i="33" s="1"/>
  <c r="Y290" i="33"/>
  <c r="AC43" i="33"/>
  <c r="AB43" i="33"/>
  <c r="Y43" i="33"/>
  <c r="S43" i="33"/>
  <c r="R291" i="33"/>
  <c r="R145" i="33"/>
  <c r="AA178" i="33"/>
  <c r="AC85" i="33"/>
  <c r="E53" i="23"/>
  <c r="R53" i="23"/>
  <c r="E72" i="23"/>
  <c r="Q72" i="23"/>
  <c r="S13" i="23"/>
  <c r="T13" i="23"/>
  <c r="T14" i="23" s="1"/>
  <c r="R14" i="23"/>
  <c r="M53" i="23"/>
  <c r="Q19" i="23"/>
  <c r="L53" i="23"/>
  <c r="X53" i="23"/>
  <c r="V72" i="23"/>
  <c r="S63" i="23"/>
  <c r="R64" i="23"/>
  <c r="Q53" i="23"/>
  <c r="P53" i="23"/>
  <c r="G72" i="23"/>
  <c r="AA27" i="23"/>
  <c r="W253" i="33"/>
  <c r="W31" i="24" s="1"/>
  <c r="T72" i="23"/>
  <c r="X72" i="23"/>
  <c r="F72" i="23"/>
  <c r="S66" i="23"/>
  <c r="R67" i="23"/>
  <c r="C16" i="35"/>
  <c r="AH8" i="23"/>
  <c r="AB74" i="23"/>
  <c r="AB75" i="23" s="1"/>
  <c r="AB72" i="23" s="1"/>
  <c r="AA75" i="23"/>
  <c r="AA72" i="23" s="1"/>
  <c r="AC74" i="23"/>
  <c r="AC75" i="23" s="1"/>
  <c r="AC72" i="23" s="1"/>
  <c r="AH39" i="23"/>
  <c r="W75" i="23"/>
  <c r="W72" i="23" s="1"/>
  <c r="T53" i="23"/>
  <c r="E3" i="35"/>
  <c r="E4" i="35" s="1"/>
  <c r="E5" i="35" s="1"/>
  <c r="E6" i="35" s="1"/>
  <c r="E7" i="35" s="1"/>
  <c r="E8" i="35" s="1"/>
  <c r="E9" i="35" s="1"/>
  <c r="E10" i="35" s="1"/>
  <c r="E11" i="35" s="1"/>
  <c r="E12" i="35" s="1"/>
  <c r="E13" i="35" s="1"/>
  <c r="E14" i="35" s="1"/>
  <c r="E15" i="35" s="1"/>
  <c r="T66" i="23"/>
  <c r="T67" i="23" s="1"/>
  <c r="T61" i="23" s="1"/>
  <c r="AB30" i="23"/>
  <c r="AB31" i="23" s="1"/>
  <c r="R31" i="23"/>
  <c r="T30" i="23"/>
  <c r="T31" i="23" s="1"/>
  <c r="S30" i="23"/>
  <c r="AA33" i="23"/>
  <c r="Z34" i="23"/>
  <c r="X19" i="23"/>
  <c r="AC30" i="23"/>
  <c r="AC31" i="23" s="1"/>
  <c r="AG5" i="23"/>
  <c r="V5" i="23" s="1"/>
  <c r="AI35" i="23"/>
  <c r="AJ35" i="23" s="1"/>
  <c r="R28" i="23"/>
  <c r="T27" i="23"/>
  <c r="T28" i="23" s="1"/>
  <c r="S27" i="23"/>
  <c r="P19" i="23"/>
  <c r="AH51" i="23"/>
  <c r="W17" i="23"/>
  <c r="W49" i="33" s="1"/>
  <c r="W9" i="24" s="1"/>
  <c r="AA164" i="33"/>
  <c r="V151" i="33"/>
  <c r="V20" i="24" s="1"/>
  <c r="AA236" i="33"/>
  <c r="G65" i="33"/>
  <c r="G12" i="24" s="1"/>
  <c r="U78" i="33"/>
  <c r="AB78" i="33"/>
  <c r="G35" i="33"/>
  <c r="G8" i="24" s="1"/>
  <c r="Z35" i="33"/>
  <c r="Z8" i="24" s="1"/>
  <c r="R252" i="33"/>
  <c r="T35" i="33"/>
  <c r="T8" i="24" s="1"/>
  <c r="L78" i="33"/>
  <c r="P285" i="33"/>
  <c r="P241" i="33"/>
  <c r="P269" i="33" s="1"/>
  <c r="Z85" i="33"/>
  <c r="G227" i="33"/>
  <c r="U227" i="33" s="1"/>
  <c r="AA83" i="33"/>
  <c r="N35" i="33"/>
  <c r="N8" i="24" s="1"/>
  <c r="X35" i="33"/>
  <c r="X8" i="24" s="1"/>
  <c r="V206" i="33"/>
  <c r="V193" i="33" s="1"/>
  <c r="V23" i="24" s="1"/>
  <c r="R127" i="33"/>
  <c r="Z127" i="33" s="1"/>
  <c r="R132" i="33"/>
  <c r="Y132" i="33" s="1"/>
  <c r="S85" i="33"/>
  <c r="R99" i="33"/>
  <c r="AB99" i="33" s="1"/>
  <c r="Y85" i="33"/>
  <c r="L143" i="33"/>
  <c r="L157" i="33" s="1"/>
  <c r="L171" i="33" s="1"/>
  <c r="L185" i="33" s="1"/>
  <c r="L199" i="33" s="1"/>
  <c r="X213" i="33"/>
  <c r="AC118" i="33"/>
  <c r="G129" i="33"/>
  <c r="X129" i="33" s="1"/>
  <c r="X115" i="33"/>
  <c r="Y90" i="33"/>
  <c r="T90" i="33"/>
  <c r="U213" i="33"/>
  <c r="AB87" i="33"/>
  <c r="AC90" i="33"/>
  <c r="Q213" i="33"/>
  <c r="Q227" i="33" s="1"/>
  <c r="U87" i="33"/>
  <c r="G101" i="33"/>
  <c r="N101" i="33" s="1"/>
  <c r="S119" i="33"/>
  <c r="AB115" i="33"/>
  <c r="X111" i="33"/>
  <c r="G92" i="33"/>
  <c r="G79" i="33" s="1"/>
  <c r="G13" i="24" s="1"/>
  <c r="M78" i="33"/>
  <c r="M65" i="33" s="1"/>
  <c r="M12" i="24" s="1"/>
  <c r="G120" i="33"/>
  <c r="G107" i="33" s="1"/>
  <c r="G15" i="24" s="1"/>
  <c r="AC88" i="33"/>
  <c r="AB111" i="33"/>
  <c r="T118" i="33"/>
  <c r="S118" i="33"/>
  <c r="Z118" i="33"/>
  <c r="AA192" i="33"/>
  <c r="V194" i="33"/>
  <c r="AA194" i="33" s="1"/>
  <c r="AA152" i="33"/>
  <c r="Y118" i="33"/>
  <c r="Z119" i="33"/>
  <c r="Y119" i="33"/>
  <c r="R130" i="33"/>
  <c r="Z88" i="33"/>
  <c r="T88" i="33"/>
  <c r="S88" i="33"/>
  <c r="L146" i="33"/>
  <c r="L160" i="33" s="1"/>
  <c r="L174" i="33" s="1"/>
  <c r="L188" i="33" s="1"/>
  <c r="L202" i="33" s="1"/>
  <c r="R102" i="33"/>
  <c r="Y102" i="33" s="1"/>
  <c r="R104" i="33"/>
  <c r="Z90" i="33"/>
  <c r="S90" i="33"/>
  <c r="AC119" i="33"/>
  <c r="T119" i="33"/>
  <c r="P206" i="33"/>
  <c r="P193" i="33" s="1"/>
  <c r="P23" i="24" s="1"/>
  <c r="AC259" i="33"/>
  <c r="T259" i="33"/>
  <c r="Y259" i="33"/>
  <c r="S259" i="33"/>
  <c r="R273" i="33"/>
  <c r="Z259" i="33"/>
  <c r="R234" i="33"/>
  <c r="Z220" i="33"/>
  <c r="T220" i="33"/>
  <c r="AC220" i="33"/>
  <c r="S220" i="33"/>
  <c r="Y220" i="33"/>
  <c r="U86" i="33"/>
  <c r="AB86" i="33"/>
  <c r="G128" i="33"/>
  <c r="G100" i="33"/>
  <c r="X86" i="33"/>
  <c r="P255" i="33"/>
  <c r="Q115" i="33"/>
  <c r="Q101" i="33"/>
  <c r="Q87" i="33"/>
  <c r="Q129" i="33" s="1"/>
  <c r="Q118" i="33"/>
  <c r="Q90" i="33"/>
  <c r="Q132" i="33" s="1"/>
  <c r="Q104" i="33"/>
  <c r="V126" i="33"/>
  <c r="AA126" i="33" s="1"/>
  <c r="AA84" i="33"/>
  <c r="Z258" i="33"/>
  <c r="Y258" i="33"/>
  <c r="R272" i="33"/>
  <c r="T258" i="33"/>
  <c r="AC258" i="33"/>
  <c r="S258" i="33"/>
  <c r="AB247" i="33"/>
  <c r="Q247" i="33"/>
  <c r="G261" i="33"/>
  <c r="X247" i="33"/>
  <c r="U247" i="33"/>
  <c r="Q294" i="33"/>
  <c r="AB294" i="33"/>
  <c r="X294" i="33"/>
  <c r="U294" i="33"/>
  <c r="P268" i="33"/>
  <c r="P254" i="33"/>
  <c r="G186" i="33"/>
  <c r="G158" i="33"/>
  <c r="Q144" i="33"/>
  <c r="U144" i="33"/>
  <c r="M144" i="33"/>
  <c r="M158" i="33" s="1"/>
  <c r="M172" i="33" s="1"/>
  <c r="M186" i="33" s="1"/>
  <c r="M200" i="33" s="1"/>
  <c r="X144" i="33"/>
  <c r="AB144" i="33"/>
  <c r="G110" i="33"/>
  <c r="G82" i="33"/>
  <c r="M68" i="33"/>
  <c r="M82" i="33" s="1"/>
  <c r="M96" i="33" s="1"/>
  <c r="M110" i="33" s="1"/>
  <c r="M124" i="33" s="1"/>
  <c r="U68" i="33"/>
  <c r="AB68" i="33"/>
  <c r="U251" i="33"/>
  <c r="G265" i="33"/>
  <c r="AB251" i="33"/>
  <c r="Q251" i="33"/>
  <c r="X251" i="33"/>
  <c r="AA266" i="33"/>
  <c r="Q212" i="33"/>
  <c r="Q226" i="33" s="1"/>
  <c r="X212" i="33"/>
  <c r="U212" i="33"/>
  <c r="AB212" i="33"/>
  <c r="G226" i="33"/>
  <c r="Y191" i="33"/>
  <c r="AC191" i="33"/>
  <c r="S191" i="33"/>
  <c r="T191" i="33"/>
  <c r="Z191" i="33"/>
  <c r="G109" i="33"/>
  <c r="M67" i="33"/>
  <c r="M81" i="33" s="1"/>
  <c r="M95" i="33" s="1"/>
  <c r="M109" i="33" s="1"/>
  <c r="M123" i="33" s="1"/>
  <c r="U67" i="33"/>
  <c r="G81" i="33"/>
  <c r="AB67" i="33"/>
  <c r="G127" i="33"/>
  <c r="U85" i="33"/>
  <c r="AB85" i="33"/>
  <c r="X85" i="33"/>
  <c r="G99" i="33"/>
  <c r="P246" i="33"/>
  <c r="P290" i="33"/>
  <c r="P216" i="33"/>
  <c r="P230" i="33" s="1"/>
  <c r="V130" i="33"/>
  <c r="AA130" i="33" s="1"/>
  <c r="AA88" i="33"/>
  <c r="V199" i="33"/>
  <c r="AA199" i="33" s="1"/>
  <c r="AA157" i="33"/>
  <c r="G224" i="33"/>
  <c r="U210" i="33"/>
  <c r="Q210" i="33"/>
  <c r="Q224" i="33" s="1"/>
  <c r="X210" i="33"/>
  <c r="AB210" i="33"/>
  <c r="Q108" i="33"/>
  <c r="Q80" i="33"/>
  <c r="Q122" i="33" s="1"/>
  <c r="Q94" i="33"/>
  <c r="R271" i="33"/>
  <c r="T257" i="33"/>
  <c r="Z257" i="33"/>
  <c r="Y257" i="33"/>
  <c r="S257" i="33"/>
  <c r="AC257" i="33"/>
  <c r="R268" i="33"/>
  <c r="S254" i="33"/>
  <c r="Z254" i="33"/>
  <c r="Y254" i="33"/>
  <c r="T254" i="33"/>
  <c r="AC254" i="33"/>
  <c r="V204" i="33"/>
  <c r="AA204" i="33" s="1"/>
  <c r="AA162" i="33"/>
  <c r="V205" i="33"/>
  <c r="AA205" i="33" s="1"/>
  <c r="AA163" i="33"/>
  <c r="R218" i="33"/>
  <c r="AC116" i="33"/>
  <c r="T116" i="33"/>
  <c r="Y116" i="33"/>
  <c r="Z116" i="33"/>
  <c r="S116" i="33"/>
  <c r="U291" i="33"/>
  <c r="AB291" i="33"/>
  <c r="Q291" i="33"/>
  <c r="X291" i="33"/>
  <c r="P294" i="33"/>
  <c r="P250" i="33"/>
  <c r="P220" i="33"/>
  <c r="P234" i="33" s="1"/>
  <c r="R215" i="33"/>
  <c r="S113" i="33"/>
  <c r="Z113" i="33"/>
  <c r="AC113" i="33"/>
  <c r="Y113" i="33"/>
  <c r="T113" i="33"/>
  <c r="Z211" i="33"/>
  <c r="Y211" i="33"/>
  <c r="R225" i="33"/>
  <c r="S211" i="33"/>
  <c r="AC211" i="33"/>
  <c r="T211" i="33"/>
  <c r="G230" i="33"/>
  <c r="U216" i="33"/>
  <c r="AB216" i="33"/>
  <c r="Q216" i="33"/>
  <c r="Q230" i="33" s="1"/>
  <c r="X216" i="33"/>
  <c r="T264" i="33"/>
  <c r="S264" i="33"/>
  <c r="R278" i="33"/>
  <c r="AC264" i="33"/>
  <c r="Z264" i="33"/>
  <c r="Y264" i="33"/>
  <c r="Y97" i="33"/>
  <c r="AC97" i="33"/>
  <c r="AB97" i="33"/>
  <c r="S97" i="33"/>
  <c r="G235" i="33"/>
  <c r="U221" i="33"/>
  <c r="X221" i="33"/>
  <c r="AB221" i="33"/>
  <c r="Q221" i="33"/>
  <c r="Q235" i="33" s="1"/>
  <c r="Q287" i="33"/>
  <c r="X287" i="33"/>
  <c r="U287" i="33"/>
  <c r="AB287" i="33"/>
  <c r="R235" i="33"/>
  <c r="AC221" i="33"/>
  <c r="S221" i="33"/>
  <c r="T221" i="33"/>
  <c r="Z221" i="33"/>
  <c r="Y221" i="33"/>
  <c r="G162" i="33"/>
  <c r="Q148" i="33"/>
  <c r="X148" i="33"/>
  <c r="G190" i="33"/>
  <c r="M148" i="33"/>
  <c r="M162" i="33" s="1"/>
  <c r="M176" i="33" s="1"/>
  <c r="M190" i="33" s="1"/>
  <c r="M204" i="33" s="1"/>
  <c r="AB148" i="33"/>
  <c r="U148" i="33"/>
  <c r="G154" i="33"/>
  <c r="Q140" i="33"/>
  <c r="AB140" i="33"/>
  <c r="G182" i="33"/>
  <c r="X140" i="33"/>
  <c r="U140" i="33"/>
  <c r="M140" i="33"/>
  <c r="M154" i="33" s="1"/>
  <c r="M168" i="33" s="1"/>
  <c r="M182" i="33" s="1"/>
  <c r="M196" i="33" s="1"/>
  <c r="P249" i="33"/>
  <c r="P293" i="33"/>
  <c r="P219" i="33"/>
  <c r="P233" i="33" s="1"/>
  <c r="Q116" i="33"/>
  <c r="Q88" i="33"/>
  <c r="Q130" i="33" s="1"/>
  <c r="Q102" i="33"/>
  <c r="U127" i="33"/>
  <c r="AB113" i="33"/>
  <c r="X113" i="33"/>
  <c r="G112" i="33"/>
  <c r="G84" i="33"/>
  <c r="U70" i="33"/>
  <c r="AB70" i="33"/>
  <c r="M70" i="33"/>
  <c r="M84" i="33" s="1"/>
  <c r="M98" i="33" s="1"/>
  <c r="M112" i="33" s="1"/>
  <c r="M126" i="33" s="1"/>
  <c r="G116" i="33"/>
  <c r="G88" i="33"/>
  <c r="U74" i="33"/>
  <c r="AB74" i="33"/>
  <c r="M74" i="33"/>
  <c r="M88" i="33" s="1"/>
  <c r="M102" i="33" s="1"/>
  <c r="M116" i="33" s="1"/>
  <c r="M130" i="33" s="1"/>
  <c r="R210" i="33"/>
  <c r="AC108" i="33"/>
  <c r="T108" i="33"/>
  <c r="Y108" i="33"/>
  <c r="S108" i="33"/>
  <c r="Z108" i="33"/>
  <c r="AB75" i="33"/>
  <c r="G117" i="33"/>
  <c r="U75" i="33"/>
  <c r="G89" i="33"/>
  <c r="M75" i="33"/>
  <c r="M89" i="33" s="1"/>
  <c r="M103" i="33" s="1"/>
  <c r="M117" i="33" s="1"/>
  <c r="M131" i="33" s="1"/>
  <c r="Q110" i="33"/>
  <c r="Q82" i="33"/>
  <c r="Q124" i="33" s="1"/>
  <c r="Q96" i="33"/>
  <c r="AB100" i="33"/>
  <c r="AC100" i="33"/>
  <c r="Y100" i="33"/>
  <c r="S100" i="33"/>
  <c r="P286" i="33"/>
  <c r="P212" i="33"/>
  <c r="P226" i="33" s="1"/>
  <c r="P242" i="33"/>
  <c r="Y125" i="33"/>
  <c r="AC125" i="33"/>
  <c r="T125" i="33"/>
  <c r="S125" i="33"/>
  <c r="Z125" i="33"/>
  <c r="X242" i="33"/>
  <c r="U242" i="33"/>
  <c r="AB242" i="33"/>
  <c r="Q242" i="33"/>
  <c r="G256" i="33"/>
  <c r="R124" i="33"/>
  <c r="L140" i="33"/>
  <c r="L154" i="33" s="1"/>
  <c r="L168" i="33" s="1"/>
  <c r="L182" i="33" s="1"/>
  <c r="L196" i="33" s="1"/>
  <c r="AC82" i="33"/>
  <c r="T82" i="33"/>
  <c r="Y82" i="33"/>
  <c r="R96" i="33"/>
  <c r="Z82" i="33"/>
  <c r="S82" i="33"/>
  <c r="G108" i="33"/>
  <c r="G80" i="33"/>
  <c r="U66" i="33"/>
  <c r="AB66" i="33"/>
  <c r="M66" i="33"/>
  <c r="M80" i="33" s="1"/>
  <c r="M94" i="33" s="1"/>
  <c r="M108" i="33" s="1"/>
  <c r="M122" i="33" s="1"/>
  <c r="G189" i="33"/>
  <c r="U147" i="33"/>
  <c r="G161" i="33"/>
  <c r="M147" i="33"/>
  <c r="M161" i="33" s="1"/>
  <c r="M175" i="33" s="1"/>
  <c r="M189" i="33" s="1"/>
  <c r="M203" i="33" s="1"/>
  <c r="Q147" i="33"/>
  <c r="AB147" i="33"/>
  <c r="X147" i="33"/>
  <c r="R276" i="33"/>
  <c r="AC262" i="33"/>
  <c r="Z262" i="33"/>
  <c r="Y262" i="33"/>
  <c r="T262" i="33"/>
  <c r="S262" i="33"/>
  <c r="T256" i="33"/>
  <c r="R270" i="33"/>
  <c r="Z256" i="33"/>
  <c r="Y256" i="33"/>
  <c r="AC256" i="33"/>
  <c r="S256" i="33"/>
  <c r="P289" i="33"/>
  <c r="P245" i="33"/>
  <c r="P215" i="33"/>
  <c r="P229" i="33" s="1"/>
  <c r="L149" i="33"/>
  <c r="L163" i="33" s="1"/>
  <c r="L177" i="33" s="1"/>
  <c r="L191" i="33" s="1"/>
  <c r="L205" i="33" s="1"/>
  <c r="R105" i="33"/>
  <c r="R133" i="33"/>
  <c r="S91" i="33"/>
  <c r="Z91" i="33"/>
  <c r="Y91" i="33"/>
  <c r="T91" i="33"/>
  <c r="AC91" i="33"/>
  <c r="R213" i="33"/>
  <c r="S111" i="33"/>
  <c r="Z111" i="33"/>
  <c r="T111" i="33"/>
  <c r="AC111" i="33"/>
  <c r="Y111" i="33"/>
  <c r="V203" i="33"/>
  <c r="AA203" i="33" s="1"/>
  <c r="AA161" i="33"/>
  <c r="V131" i="33"/>
  <c r="AA131" i="33" s="1"/>
  <c r="AA89" i="33"/>
  <c r="G260" i="33"/>
  <c r="X246" i="33"/>
  <c r="Q246" i="33"/>
  <c r="U246" i="33"/>
  <c r="AB246" i="33"/>
  <c r="G229" i="33"/>
  <c r="U215" i="33"/>
  <c r="AB215" i="33"/>
  <c r="Q215" i="33"/>
  <c r="Q229" i="33" s="1"/>
  <c r="X215" i="33"/>
  <c r="M77" i="33"/>
  <c r="M91" i="33" s="1"/>
  <c r="M105" i="33" s="1"/>
  <c r="M119" i="33" s="1"/>
  <c r="M133" i="33" s="1"/>
  <c r="AB77" i="33"/>
  <c r="G91" i="33"/>
  <c r="U77" i="33"/>
  <c r="G119" i="33"/>
  <c r="G164" i="33"/>
  <c r="G151" i="33" s="1"/>
  <c r="G20" i="24" s="1"/>
  <c r="X150" i="33"/>
  <c r="X137" i="33" s="1"/>
  <c r="X19" i="24" s="1"/>
  <c r="G192" i="33"/>
  <c r="G179" i="33" s="1"/>
  <c r="G22" i="24" s="1"/>
  <c r="AB150" i="33"/>
  <c r="M150" i="33"/>
  <c r="M137" i="33" s="1"/>
  <c r="M19" i="24" s="1"/>
  <c r="Q150" i="33"/>
  <c r="Q137" i="33" s="1"/>
  <c r="Q19" i="24" s="1"/>
  <c r="U150" i="33"/>
  <c r="G264" i="33"/>
  <c r="X250" i="33"/>
  <c r="Q250" i="33"/>
  <c r="U250" i="33"/>
  <c r="AB250" i="33"/>
  <c r="Q286" i="33"/>
  <c r="U286" i="33"/>
  <c r="AB286" i="33"/>
  <c r="X286" i="33"/>
  <c r="L221" i="33"/>
  <c r="R205" i="33"/>
  <c r="Z163" i="33"/>
  <c r="Y163" i="33"/>
  <c r="T163" i="33"/>
  <c r="S163" i="33"/>
  <c r="R177" i="33"/>
  <c r="AC163" i="33"/>
  <c r="G181" i="33"/>
  <c r="U139" i="33"/>
  <c r="G153" i="33"/>
  <c r="M139" i="33"/>
  <c r="M153" i="33" s="1"/>
  <c r="M167" i="33" s="1"/>
  <c r="M181" i="33" s="1"/>
  <c r="M195" i="33" s="1"/>
  <c r="X139" i="33"/>
  <c r="Q139" i="33"/>
  <c r="AB139" i="33"/>
  <c r="Q112" i="33"/>
  <c r="Q84" i="33"/>
  <c r="Q126" i="33" s="1"/>
  <c r="Q98" i="33"/>
  <c r="Q117" i="33"/>
  <c r="Q89" i="33"/>
  <c r="Q131" i="33" s="1"/>
  <c r="Q103" i="33"/>
  <c r="Q114" i="33"/>
  <c r="Q86" i="33"/>
  <c r="Q128" i="33" s="1"/>
  <c r="Q100" i="33"/>
  <c r="R212" i="33"/>
  <c r="Y110" i="33"/>
  <c r="AC110" i="33"/>
  <c r="T110" i="33"/>
  <c r="S110" i="33"/>
  <c r="Z110" i="33"/>
  <c r="X244" i="33"/>
  <c r="AB244" i="33"/>
  <c r="G258" i="33"/>
  <c r="Q244" i="33"/>
  <c r="U244" i="33"/>
  <c r="S89" i="33"/>
  <c r="Y89" i="33"/>
  <c r="R103" i="33"/>
  <c r="L147" i="33"/>
  <c r="L161" i="33" s="1"/>
  <c r="L175" i="33" s="1"/>
  <c r="L189" i="33" s="1"/>
  <c r="L203" i="33" s="1"/>
  <c r="AC89" i="33"/>
  <c r="Z89" i="33"/>
  <c r="T89" i="33"/>
  <c r="R131" i="33"/>
  <c r="G232" i="33"/>
  <c r="Q218" i="33"/>
  <c r="Q232" i="33" s="1"/>
  <c r="X218" i="33"/>
  <c r="AB218" i="33"/>
  <c r="U218" i="33"/>
  <c r="R94" i="33"/>
  <c r="Y80" i="33"/>
  <c r="AC80" i="33"/>
  <c r="T80" i="33"/>
  <c r="R122" i="33"/>
  <c r="Z80" i="33"/>
  <c r="L138" i="33"/>
  <c r="L152" i="33" s="1"/>
  <c r="L166" i="33" s="1"/>
  <c r="L180" i="33" s="1"/>
  <c r="L194" i="33" s="1"/>
  <c r="S80" i="33"/>
  <c r="M138" i="33"/>
  <c r="M152" i="33" s="1"/>
  <c r="M166" i="33" s="1"/>
  <c r="M180" i="33" s="1"/>
  <c r="M194" i="33" s="1"/>
  <c r="U138" i="33"/>
  <c r="Q138" i="33"/>
  <c r="G152" i="33"/>
  <c r="X138" i="33"/>
  <c r="AB138" i="33"/>
  <c r="G180" i="33"/>
  <c r="G104" i="33"/>
  <c r="U90" i="33"/>
  <c r="AB90" i="33"/>
  <c r="X90" i="33"/>
  <c r="G132" i="33"/>
  <c r="G233" i="33"/>
  <c r="X219" i="33"/>
  <c r="AB219" i="33"/>
  <c r="Q219" i="33"/>
  <c r="Q233" i="33" s="1"/>
  <c r="U219" i="33"/>
  <c r="G187" i="33"/>
  <c r="Q145" i="33"/>
  <c r="M145" i="33"/>
  <c r="M159" i="33" s="1"/>
  <c r="M173" i="33" s="1"/>
  <c r="M187" i="33" s="1"/>
  <c r="M201" i="33" s="1"/>
  <c r="X145" i="33"/>
  <c r="G159" i="33"/>
  <c r="U145" i="33"/>
  <c r="AB145" i="33"/>
  <c r="U222" i="33"/>
  <c r="G236" i="33"/>
  <c r="G223" i="33" s="1"/>
  <c r="G27" i="24" s="1"/>
  <c r="Q222" i="33"/>
  <c r="Q209" i="33" s="1"/>
  <c r="Q26" i="24" s="1"/>
  <c r="AB222" i="33"/>
  <c r="X222" i="33"/>
  <c r="X209" i="33" s="1"/>
  <c r="X26" i="24" s="1"/>
  <c r="V124" i="33"/>
  <c r="AA124" i="33" s="1"/>
  <c r="AA82" i="33"/>
  <c r="Z160" i="33"/>
  <c r="R202" i="33"/>
  <c r="P271" i="33"/>
  <c r="P257" i="33"/>
  <c r="L139" i="33"/>
  <c r="L153" i="33" s="1"/>
  <c r="L167" i="33" s="1"/>
  <c r="L181" i="33" s="1"/>
  <c r="L195" i="33" s="1"/>
  <c r="S81" i="33"/>
  <c r="AC81" i="33"/>
  <c r="R95" i="33"/>
  <c r="Y81" i="33"/>
  <c r="R123" i="33"/>
  <c r="Z81" i="33"/>
  <c r="T81" i="33"/>
  <c r="G231" i="33"/>
  <c r="Q217" i="33"/>
  <c r="Q231" i="33" s="1"/>
  <c r="U217" i="33"/>
  <c r="AB217" i="33"/>
  <c r="X217" i="33"/>
  <c r="S186" i="33"/>
  <c r="Z186" i="33"/>
  <c r="Y186" i="33"/>
  <c r="T186" i="33"/>
  <c r="AC186" i="33"/>
  <c r="R216" i="33"/>
  <c r="Y114" i="33"/>
  <c r="AC114" i="33"/>
  <c r="Z114" i="33"/>
  <c r="S114" i="33"/>
  <c r="T114" i="33"/>
  <c r="X114" i="33"/>
  <c r="AB114" i="33"/>
  <c r="U128" i="33"/>
  <c r="G185" i="33"/>
  <c r="U143" i="33"/>
  <c r="G157" i="33"/>
  <c r="AB143" i="33"/>
  <c r="Q143" i="33"/>
  <c r="M143" i="33"/>
  <c r="M157" i="33" s="1"/>
  <c r="M171" i="33" s="1"/>
  <c r="M185" i="33" s="1"/>
  <c r="M199" i="33" s="1"/>
  <c r="X143" i="33"/>
  <c r="P291" i="33"/>
  <c r="P247" i="33"/>
  <c r="P217" i="33"/>
  <c r="P231" i="33" s="1"/>
  <c r="Q295" i="33"/>
  <c r="X295" i="33"/>
  <c r="U295" i="33"/>
  <c r="AB295" i="33"/>
  <c r="Q243" i="33"/>
  <c r="AB243" i="33"/>
  <c r="X243" i="33"/>
  <c r="U243" i="33"/>
  <c r="G257" i="33"/>
  <c r="AA280" i="33"/>
  <c r="AA267" i="33" s="1"/>
  <c r="AA32" i="24" s="1"/>
  <c r="M142" i="33"/>
  <c r="M156" i="33" s="1"/>
  <c r="M170" i="33" s="1"/>
  <c r="M184" i="33" s="1"/>
  <c r="M198" i="33" s="1"/>
  <c r="U142" i="33"/>
  <c r="G156" i="33"/>
  <c r="X142" i="33"/>
  <c r="G184" i="33"/>
  <c r="AB142" i="33"/>
  <c r="Q142" i="33"/>
  <c r="G188" i="33"/>
  <c r="M146" i="33"/>
  <c r="M160" i="33" s="1"/>
  <c r="M174" i="33" s="1"/>
  <c r="M188" i="33" s="1"/>
  <c r="M202" i="33" s="1"/>
  <c r="U146" i="33"/>
  <c r="Q146" i="33"/>
  <c r="G160" i="33"/>
  <c r="X146" i="33"/>
  <c r="AB146" i="33"/>
  <c r="S188" i="33"/>
  <c r="Z188" i="33"/>
  <c r="Y188" i="33"/>
  <c r="P295" i="33"/>
  <c r="P251" i="33"/>
  <c r="P221" i="33"/>
  <c r="P235" i="33" s="1"/>
  <c r="P292" i="33"/>
  <c r="P248" i="33"/>
  <c r="P218" i="33"/>
  <c r="P232" i="33" s="1"/>
  <c r="V195" i="33"/>
  <c r="AA195" i="33" s="1"/>
  <c r="AA153" i="33"/>
  <c r="G259" i="33"/>
  <c r="X245" i="33"/>
  <c r="U245" i="33"/>
  <c r="Q245" i="33"/>
  <c r="AB245" i="33"/>
  <c r="G125" i="33"/>
  <c r="X83" i="33"/>
  <c r="AB83" i="33"/>
  <c r="G97" i="33"/>
  <c r="U83" i="33"/>
  <c r="AB252" i="33"/>
  <c r="AB239" i="33" s="1"/>
  <c r="AB30" i="24" s="1"/>
  <c r="X252" i="33"/>
  <c r="X239" i="33" s="1"/>
  <c r="X30" i="24" s="1"/>
  <c r="G266" i="33"/>
  <c r="G253" i="33" s="1"/>
  <c r="G31" i="24" s="1"/>
  <c r="U252" i="33"/>
  <c r="Q252" i="33"/>
  <c r="Q239" i="33" s="1"/>
  <c r="Q30" i="24" s="1"/>
  <c r="R217" i="33"/>
  <c r="S115" i="33"/>
  <c r="AC115" i="33"/>
  <c r="Y115" i="33"/>
  <c r="Z115" i="33"/>
  <c r="T115" i="33"/>
  <c r="G225" i="33"/>
  <c r="Q211" i="33"/>
  <c r="Q225" i="33" s="1"/>
  <c r="AB211" i="33"/>
  <c r="U211" i="33"/>
  <c r="X211" i="33"/>
  <c r="G228" i="33"/>
  <c r="X214" i="33"/>
  <c r="U214" i="33"/>
  <c r="AB214" i="33"/>
  <c r="Q214" i="33"/>
  <c r="Q228" i="33" s="1"/>
  <c r="Q109" i="33"/>
  <c r="Q81" i="33"/>
  <c r="Q123" i="33" s="1"/>
  <c r="Q95" i="33"/>
  <c r="Q105" i="33"/>
  <c r="Q91" i="33"/>
  <c r="Q133" i="33" s="1"/>
  <c r="Q119" i="33"/>
  <c r="V122" i="33"/>
  <c r="AA122" i="33" s="1"/>
  <c r="AA80" i="33"/>
  <c r="Q248" i="33"/>
  <c r="AB248" i="33"/>
  <c r="U248" i="33"/>
  <c r="G262" i="33"/>
  <c r="X248" i="33"/>
  <c r="Q113" i="33"/>
  <c r="Q85" i="33"/>
  <c r="Q127" i="33" s="1"/>
  <c r="Q99" i="33"/>
  <c r="S261" i="33"/>
  <c r="Z261" i="33"/>
  <c r="Y261" i="33"/>
  <c r="T261" i="33"/>
  <c r="AC261" i="33"/>
  <c r="R275" i="33"/>
  <c r="L142" i="33"/>
  <c r="L156" i="33" s="1"/>
  <c r="L170" i="33" s="1"/>
  <c r="L184" i="33" s="1"/>
  <c r="L198" i="33" s="1"/>
  <c r="R126" i="33"/>
  <c r="Y84" i="33"/>
  <c r="R98" i="33"/>
  <c r="AC84" i="33"/>
  <c r="Z84" i="33"/>
  <c r="T84" i="33"/>
  <c r="S84" i="33"/>
  <c r="U240" i="33"/>
  <c r="G254" i="33"/>
  <c r="AB240" i="33"/>
  <c r="Q240" i="33"/>
  <c r="X240" i="33"/>
  <c r="AC112" i="33"/>
  <c r="R214" i="33"/>
  <c r="T112" i="33"/>
  <c r="Y112" i="33"/>
  <c r="S112" i="33"/>
  <c r="Z112" i="33"/>
  <c r="X118" i="33"/>
  <c r="U132" i="33"/>
  <c r="AB118" i="33"/>
  <c r="X249" i="33"/>
  <c r="U249" i="33"/>
  <c r="G263" i="33"/>
  <c r="Q249" i="33"/>
  <c r="AB249" i="33"/>
  <c r="AB227" i="33"/>
  <c r="X227" i="33"/>
  <c r="G191" i="33"/>
  <c r="Q149" i="33"/>
  <c r="G163" i="33"/>
  <c r="M149" i="33"/>
  <c r="M163" i="33" s="1"/>
  <c r="M177" i="33" s="1"/>
  <c r="M191" i="33" s="1"/>
  <c r="M205" i="33" s="1"/>
  <c r="U149" i="33"/>
  <c r="X149" i="33"/>
  <c r="AB149" i="33"/>
  <c r="AA85" i="33"/>
  <c r="V127" i="33"/>
  <c r="AA127" i="33" s="1"/>
  <c r="R219" i="33"/>
  <c r="S117" i="33"/>
  <c r="Z117" i="33"/>
  <c r="T117" i="33"/>
  <c r="Y117" i="33"/>
  <c r="AC117" i="33"/>
  <c r="Y263" i="33"/>
  <c r="AC263" i="33"/>
  <c r="T263" i="33"/>
  <c r="S263" i="33"/>
  <c r="R277" i="33"/>
  <c r="Z263" i="33"/>
  <c r="AA158" i="33"/>
  <c r="V200" i="33"/>
  <c r="AA200" i="33" s="1"/>
  <c r="U290" i="33"/>
  <c r="AB290" i="33"/>
  <c r="Q290" i="33"/>
  <c r="X290" i="33"/>
  <c r="S87" i="33"/>
  <c r="Z87" i="33"/>
  <c r="R129" i="33"/>
  <c r="T87" i="33"/>
  <c r="AC87" i="33"/>
  <c r="L145" i="33"/>
  <c r="L159" i="33" s="1"/>
  <c r="L173" i="33" s="1"/>
  <c r="L187" i="33" s="1"/>
  <c r="L201" i="33" s="1"/>
  <c r="Y87" i="33"/>
  <c r="R101" i="33"/>
  <c r="G234" i="33"/>
  <c r="U220" i="33"/>
  <c r="X220" i="33"/>
  <c r="AB220" i="33"/>
  <c r="Q220" i="33"/>
  <c r="Q234" i="33" s="1"/>
  <c r="U241" i="33"/>
  <c r="G255" i="33"/>
  <c r="AB241" i="33"/>
  <c r="X241" i="33"/>
  <c r="Q241" i="33"/>
  <c r="AC200" i="33"/>
  <c r="T200" i="33"/>
  <c r="Y200" i="33"/>
  <c r="S200" i="33"/>
  <c r="Z200" i="33"/>
  <c r="T260" i="33"/>
  <c r="R274" i="33"/>
  <c r="Y260" i="33"/>
  <c r="Z260" i="33"/>
  <c r="S260" i="33"/>
  <c r="AC260" i="33"/>
  <c r="R279" i="33"/>
  <c r="S265" i="33"/>
  <c r="AC265" i="33"/>
  <c r="Y265" i="33"/>
  <c r="T265" i="33"/>
  <c r="Z265" i="33"/>
  <c r="AA87" i="33"/>
  <c r="V129" i="33"/>
  <c r="AA129" i="33" s="1"/>
  <c r="AA91" i="33"/>
  <c r="V133" i="33"/>
  <c r="AA133" i="33" s="1"/>
  <c r="P288" i="33"/>
  <c r="P244" i="33"/>
  <c r="P214" i="33"/>
  <c r="P228" i="33" s="1"/>
  <c r="Q289" i="33"/>
  <c r="AB289" i="33"/>
  <c r="X289" i="33"/>
  <c r="U289" i="33"/>
  <c r="AC255" i="33"/>
  <c r="Z255" i="33"/>
  <c r="R269" i="33"/>
  <c r="T255" i="33"/>
  <c r="S255" i="33"/>
  <c r="Y255" i="33"/>
  <c r="G183" i="33"/>
  <c r="Q141" i="33"/>
  <c r="M141" i="33"/>
  <c r="M155" i="33" s="1"/>
  <c r="M169" i="33" s="1"/>
  <c r="M183" i="33" s="1"/>
  <c r="M197" i="33" s="1"/>
  <c r="U141" i="33"/>
  <c r="X141" i="33"/>
  <c r="AB141" i="33"/>
  <c r="G155" i="33"/>
  <c r="Q296" i="33"/>
  <c r="Q283" i="33" s="1"/>
  <c r="Q35" i="24" s="1"/>
  <c r="X296" i="33"/>
  <c r="X283" i="33" s="1"/>
  <c r="X35" i="24" s="1"/>
  <c r="U296" i="33"/>
  <c r="AB296" i="33"/>
  <c r="AB283" i="33" s="1"/>
  <c r="AB35" i="24" s="1"/>
  <c r="V123" i="33"/>
  <c r="AA123" i="33" s="1"/>
  <c r="AA81" i="33"/>
  <c r="AB285" i="33"/>
  <c r="Q285" i="33"/>
  <c r="X285" i="33"/>
  <c r="U285" i="33"/>
  <c r="V128" i="33"/>
  <c r="AA128" i="33" s="1"/>
  <c r="AA86" i="33"/>
  <c r="X288" i="33"/>
  <c r="AB288" i="33"/>
  <c r="U288" i="33"/>
  <c r="Q288" i="33"/>
  <c r="V196" i="33"/>
  <c r="AA196" i="33" s="1"/>
  <c r="AA154" i="33"/>
  <c r="S172" i="33"/>
  <c r="Y172" i="33"/>
  <c r="AC172" i="33"/>
  <c r="AB172" i="33"/>
  <c r="AB292" i="33"/>
  <c r="X292" i="33"/>
  <c r="Q292" i="33"/>
  <c r="U292" i="33"/>
  <c r="AB284" i="33"/>
  <c r="X284" i="33"/>
  <c r="Q284" i="33"/>
  <c r="U284" i="33"/>
  <c r="X293" i="33"/>
  <c r="U293" i="33"/>
  <c r="AB293" i="33"/>
  <c r="Q293" i="33"/>
  <c r="S128" i="33"/>
  <c r="Z128" i="33"/>
  <c r="T128" i="33"/>
  <c r="Y128" i="33"/>
  <c r="AC128" i="33"/>
  <c r="W34" i="23"/>
  <c r="W121" i="33" s="1"/>
  <c r="W16" i="24" s="1"/>
  <c r="Y33" i="23"/>
  <c r="Y34" i="23" s="1"/>
  <c r="F19" i="23"/>
  <c r="AG36" i="23"/>
  <c r="G36" i="23" s="1"/>
  <c r="X36" i="23"/>
  <c r="P36" i="23"/>
  <c r="AH42" i="23"/>
  <c r="R24" i="23"/>
  <c r="AI25" i="23"/>
  <c r="AH45" i="23"/>
  <c r="AH52" i="23"/>
  <c r="G19" i="23"/>
  <c r="AI11" i="23"/>
  <c r="R10" i="23"/>
  <c r="N53" i="23"/>
  <c r="V53" i="23"/>
  <c r="N19" i="23"/>
  <c r="F5" i="23"/>
  <c r="T16" i="23"/>
  <c r="T17" i="23" s="1"/>
  <c r="S16" i="23"/>
  <c r="R17" i="23"/>
  <c r="AA28" i="23"/>
  <c r="AC27" i="23"/>
  <c r="AC28" i="23" s="1"/>
  <c r="AB27" i="23"/>
  <c r="AB28" i="23" s="1"/>
  <c r="M19" i="23"/>
  <c r="S75" i="23"/>
  <c r="U74" i="23"/>
  <c r="U75" i="23" s="1"/>
  <c r="U72" i="23" s="1"/>
  <c r="Y55" i="23"/>
  <c r="Y56" i="23" s="1"/>
  <c r="Y53" i="23" s="1"/>
  <c r="W56" i="23"/>
  <c r="W53" i="23" s="1"/>
  <c r="S59" i="23"/>
  <c r="U58" i="23"/>
  <c r="U59" i="23" s="1"/>
  <c r="S56" i="23"/>
  <c r="U55" i="23"/>
  <c r="U56" i="23" s="1"/>
  <c r="R47" i="23"/>
  <c r="AA66" i="23"/>
  <c r="Z67" i="23"/>
  <c r="Z61" i="23" s="1"/>
  <c r="R50" i="23"/>
  <c r="AH19" i="23"/>
  <c r="AI22" i="23"/>
  <c r="R21" i="23"/>
  <c r="AC141" i="33" l="1"/>
  <c r="Z169" i="33"/>
  <c r="T169" i="33"/>
  <c r="S141" i="33"/>
  <c r="R155" i="33"/>
  <c r="T141" i="33"/>
  <c r="R183" i="33"/>
  <c r="Z141" i="33"/>
  <c r="Y141" i="33"/>
  <c r="Y160" i="33"/>
  <c r="T140" i="33"/>
  <c r="Z140" i="33"/>
  <c r="T168" i="33"/>
  <c r="R182" i="33"/>
  <c r="S140" i="33"/>
  <c r="Y140" i="33"/>
  <c r="R154" i="33"/>
  <c r="Z168" i="33"/>
  <c r="AC140" i="33"/>
  <c r="Y287" i="33"/>
  <c r="S287" i="33"/>
  <c r="T287" i="33"/>
  <c r="AC287" i="33"/>
  <c r="Z287" i="33"/>
  <c r="AC188" i="33"/>
  <c r="L218" i="33"/>
  <c r="Z285" i="33"/>
  <c r="AC285" i="33"/>
  <c r="S285" i="33"/>
  <c r="Y285" i="33"/>
  <c r="T285" i="33"/>
  <c r="T148" i="33"/>
  <c r="R162" i="33"/>
  <c r="T176" i="33"/>
  <c r="R190" i="33"/>
  <c r="Y148" i="33"/>
  <c r="S148" i="33"/>
  <c r="Z148" i="33"/>
  <c r="Z176" i="33"/>
  <c r="AC148" i="33"/>
  <c r="Z294" i="33"/>
  <c r="Y294" i="33"/>
  <c r="S294" i="33"/>
  <c r="T294" i="33"/>
  <c r="AC294" i="33"/>
  <c r="Z286" i="33"/>
  <c r="AC286" i="33"/>
  <c r="Y286" i="33"/>
  <c r="S286" i="33"/>
  <c r="T286" i="33"/>
  <c r="R152" i="33"/>
  <c r="Z138" i="33"/>
  <c r="AC138" i="33"/>
  <c r="Y138" i="33"/>
  <c r="S138" i="33"/>
  <c r="T138" i="33"/>
  <c r="R180" i="33"/>
  <c r="Z166" i="33"/>
  <c r="T166" i="33"/>
  <c r="Z291" i="33"/>
  <c r="Y291" i="33"/>
  <c r="S291" i="33"/>
  <c r="AC291" i="33"/>
  <c r="T291" i="33"/>
  <c r="R189" i="33"/>
  <c r="R161" i="33"/>
  <c r="T147" i="33"/>
  <c r="AC147" i="33"/>
  <c r="Y147" i="33"/>
  <c r="S147" i="33"/>
  <c r="Z147" i="33"/>
  <c r="T175" i="33"/>
  <c r="Z175" i="33"/>
  <c r="T142" i="33"/>
  <c r="T170" i="33"/>
  <c r="AC142" i="33"/>
  <c r="Y142" i="33"/>
  <c r="S142" i="33"/>
  <c r="R156" i="33"/>
  <c r="Z170" i="33"/>
  <c r="R184" i="33"/>
  <c r="Z142" i="33"/>
  <c r="S160" i="33"/>
  <c r="Z293" i="33"/>
  <c r="S293" i="33"/>
  <c r="AC293" i="33"/>
  <c r="T293" i="33"/>
  <c r="Y293" i="33"/>
  <c r="S288" i="33"/>
  <c r="AC288" i="33"/>
  <c r="T288" i="33"/>
  <c r="Z288" i="33"/>
  <c r="Y288" i="33"/>
  <c r="R157" i="33"/>
  <c r="Y143" i="33"/>
  <c r="AC143" i="33"/>
  <c r="Z171" i="33"/>
  <c r="S143" i="33"/>
  <c r="T171" i="33"/>
  <c r="R185" i="33"/>
  <c r="T143" i="33"/>
  <c r="Z143" i="33"/>
  <c r="T160" i="33"/>
  <c r="AC145" i="33"/>
  <c r="Z145" i="33"/>
  <c r="R159" i="33"/>
  <c r="Z173" i="33"/>
  <c r="S145" i="33"/>
  <c r="R187" i="33"/>
  <c r="T173" i="33"/>
  <c r="Y145" i="33"/>
  <c r="T145" i="33"/>
  <c r="T289" i="33"/>
  <c r="Y289" i="33"/>
  <c r="AC289" i="33"/>
  <c r="Z289" i="33"/>
  <c r="S289" i="33"/>
  <c r="AC160" i="33"/>
  <c r="Z139" i="33"/>
  <c r="T167" i="33"/>
  <c r="T139" i="33"/>
  <c r="S139" i="33"/>
  <c r="Y139" i="33"/>
  <c r="R181" i="33"/>
  <c r="Z167" i="33"/>
  <c r="R153" i="33"/>
  <c r="AC139" i="33"/>
  <c r="S284" i="33"/>
  <c r="AC284" i="33"/>
  <c r="Y284" i="33"/>
  <c r="T284" i="33"/>
  <c r="Z284" i="33"/>
  <c r="U283" i="33"/>
  <c r="U35" i="24" s="1"/>
  <c r="AA283" i="33"/>
  <c r="AA35" i="24" s="1"/>
  <c r="AH36" i="23"/>
  <c r="AI52" i="23" s="1"/>
  <c r="U63" i="23"/>
  <c r="U64" i="23" s="1"/>
  <c r="U239" i="33" s="1"/>
  <c r="U30" i="24" s="1"/>
  <c r="S64" i="23"/>
  <c r="AD64" i="23" s="1"/>
  <c r="B19" i="35" s="1"/>
  <c r="D19" i="35" s="1"/>
  <c r="R61" i="23"/>
  <c r="U209" i="33"/>
  <c r="U26" i="24" s="1"/>
  <c r="U13" i="23"/>
  <c r="U14" i="23" s="1"/>
  <c r="U35" i="33" s="1"/>
  <c r="U8" i="24" s="1"/>
  <c r="S14" i="23"/>
  <c r="AI48" i="23"/>
  <c r="C22" i="35"/>
  <c r="E22" i="35" s="1"/>
  <c r="U27" i="23"/>
  <c r="U28" i="23" s="1"/>
  <c r="S28" i="23"/>
  <c r="AD28" i="23" s="1"/>
  <c r="B2" i="35" s="1"/>
  <c r="N5" i="23"/>
  <c r="N36" i="23"/>
  <c r="R38" i="23"/>
  <c r="R39" i="23" s="1"/>
  <c r="F36" i="23"/>
  <c r="U66" i="23"/>
  <c r="U67" i="23" s="1"/>
  <c r="S67" i="23"/>
  <c r="S61" i="23" s="1"/>
  <c r="P5" i="23"/>
  <c r="M36" i="23"/>
  <c r="AC33" i="23"/>
  <c r="AC34" i="23" s="1"/>
  <c r="AA34" i="23"/>
  <c r="AB33" i="23"/>
  <c r="AB34" i="23" s="1"/>
  <c r="AD34" i="23" s="1"/>
  <c r="B5" i="35" s="1"/>
  <c r="E16" i="35"/>
  <c r="E17" i="35" s="1"/>
  <c r="E18" i="35" s="1"/>
  <c r="E19" i="35" s="1"/>
  <c r="E20" i="35" s="1"/>
  <c r="E21" i="35" s="1"/>
  <c r="D5" i="23"/>
  <c r="Q5" i="23"/>
  <c r="W283" i="33"/>
  <c r="W35" i="24" s="1"/>
  <c r="S31" i="23"/>
  <c r="U30" i="23"/>
  <c r="U31" i="23" s="1"/>
  <c r="AJ18" i="23"/>
  <c r="L36" i="23"/>
  <c r="X5" i="23"/>
  <c r="X4" i="23" s="1"/>
  <c r="AG4" i="23"/>
  <c r="J4" i="23" s="1"/>
  <c r="G5" i="23"/>
  <c r="E5" i="23"/>
  <c r="W209" i="33"/>
  <c r="W26" i="24" s="1"/>
  <c r="AI8" i="23"/>
  <c r="R7" i="23"/>
  <c r="AI14" i="23"/>
  <c r="W13" i="23" s="1"/>
  <c r="AH5" i="23"/>
  <c r="AH4" i="23" s="1"/>
  <c r="AA206" i="33"/>
  <c r="R239" i="33"/>
  <c r="R30" i="24" s="1"/>
  <c r="Z280" i="33"/>
  <c r="Z267" i="33" s="1"/>
  <c r="Z32" i="24" s="1"/>
  <c r="AC252" i="33"/>
  <c r="AC239" i="33" s="1"/>
  <c r="AC30" i="24" s="1"/>
  <c r="S252" i="33"/>
  <c r="S239" i="33" s="1"/>
  <c r="S30" i="24" s="1"/>
  <c r="Y252" i="33"/>
  <c r="Y239" i="33" s="1"/>
  <c r="Y30" i="24" s="1"/>
  <c r="T280" i="33"/>
  <c r="T267" i="33" s="1"/>
  <c r="T32" i="24" s="1"/>
  <c r="Z252" i="33"/>
  <c r="Z239" i="33" s="1"/>
  <c r="Z30" i="24" s="1"/>
  <c r="R266" i="33"/>
  <c r="T252" i="33"/>
  <c r="T239" i="33" s="1"/>
  <c r="T30" i="24" s="1"/>
  <c r="F252" i="33"/>
  <c r="F49" i="33"/>
  <c r="R49" i="33"/>
  <c r="R9" i="24" s="1"/>
  <c r="Y49" i="33"/>
  <c r="Y9" i="24" s="1"/>
  <c r="T49" i="33"/>
  <c r="T9" i="24" s="1"/>
  <c r="L65" i="33"/>
  <c r="L12" i="24" s="1"/>
  <c r="L92" i="33"/>
  <c r="L252" i="33"/>
  <c r="AC127" i="33"/>
  <c r="AC132" i="33"/>
  <c r="Z132" i="33"/>
  <c r="S132" i="33"/>
  <c r="AB129" i="33"/>
  <c r="Y127" i="33"/>
  <c r="AC99" i="33"/>
  <c r="S99" i="33"/>
  <c r="T127" i="33"/>
  <c r="S127" i="33"/>
  <c r="X101" i="33"/>
  <c r="AB102" i="33"/>
  <c r="U101" i="33"/>
  <c r="T132" i="33"/>
  <c r="Y99" i="33"/>
  <c r="S102" i="33"/>
  <c r="U115" i="33"/>
  <c r="G134" i="33"/>
  <c r="G121" i="33" s="1"/>
  <c r="G16" i="24" s="1"/>
  <c r="AB92" i="33"/>
  <c r="G106" i="33"/>
  <c r="G93" i="33" s="1"/>
  <c r="G14" i="24" s="1"/>
  <c r="X92" i="33"/>
  <c r="X79" i="33" s="1"/>
  <c r="X13" i="24" s="1"/>
  <c r="U92" i="33"/>
  <c r="U134" i="33"/>
  <c r="U121" i="33" s="1"/>
  <c r="U16" i="24" s="1"/>
  <c r="AB120" i="33"/>
  <c r="AB107" i="33" s="1"/>
  <c r="AB15" i="24" s="1"/>
  <c r="X120" i="33"/>
  <c r="X107" i="33" s="1"/>
  <c r="X15" i="24" s="1"/>
  <c r="AC102" i="33"/>
  <c r="M92" i="33"/>
  <c r="M79" i="33" s="1"/>
  <c r="M13" i="24" s="1"/>
  <c r="Z130" i="33"/>
  <c r="AC130" i="33"/>
  <c r="S130" i="33"/>
  <c r="T130" i="33"/>
  <c r="Y130" i="33"/>
  <c r="AC104" i="33"/>
  <c r="AB104" i="33"/>
  <c r="S104" i="33"/>
  <c r="Y104" i="33"/>
  <c r="P252" i="33"/>
  <c r="P239" i="33" s="1"/>
  <c r="P30" i="24" s="1"/>
  <c r="P222" i="33"/>
  <c r="P209" i="33" s="1"/>
  <c r="P26" i="24" s="1"/>
  <c r="P296" i="33"/>
  <c r="P283" i="33" s="1"/>
  <c r="P35" i="24" s="1"/>
  <c r="Y129" i="33"/>
  <c r="AC129" i="33"/>
  <c r="Z129" i="33"/>
  <c r="T129" i="33"/>
  <c r="S129" i="33"/>
  <c r="R228" i="33"/>
  <c r="S214" i="33"/>
  <c r="Y214" i="33"/>
  <c r="T214" i="33"/>
  <c r="AC214" i="33"/>
  <c r="Z214" i="33"/>
  <c r="X266" i="33"/>
  <c r="X253" i="33" s="1"/>
  <c r="X31" i="24" s="1"/>
  <c r="U266" i="33"/>
  <c r="U253" i="33" s="1"/>
  <c r="U31" i="24" s="1"/>
  <c r="G280" i="33"/>
  <c r="G267" i="33" s="1"/>
  <c r="G32" i="24" s="1"/>
  <c r="AB266" i="33"/>
  <c r="AB132" i="33"/>
  <c r="X132" i="33"/>
  <c r="U232" i="33"/>
  <c r="AB232" i="33"/>
  <c r="X232" i="33"/>
  <c r="Q164" i="33"/>
  <c r="Q151" i="33" s="1"/>
  <c r="Q20" i="24" s="1"/>
  <c r="Q178" i="33"/>
  <c r="Q165" i="33" s="1"/>
  <c r="Q21" i="24" s="1"/>
  <c r="Q192" i="33"/>
  <c r="Q179" i="33" s="1"/>
  <c r="Q22" i="24" s="1"/>
  <c r="S271" i="33"/>
  <c r="AB271" i="33"/>
  <c r="Y271" i="33"/>
  <c r="AC271" i="33"/>
  <c r="AB128" i="33"/>
  <c r="X128" i="33"/>
  <c r="AC269" i="33"/>
  <c r="AB269" i="33"/>
  <c r="Y269" i="33"/>
  <c r="S269" i="33"/>
  <c r="Q166" i="33"/>
  <c r="Q152" i="33"/>
  <c r="Q194" i="33" s="1"/>
  <c r="Q180" i="33"/>
  <c r="G195" i="33"/>
  <c r="U153" i="33"/>
  <c r="X153" i="33"/>
  <c r="AB153" i="33"/>
  <c r="G167" i="33"/>
  <c r="X110" i="33"/>
  <c r="AB110" i="33"/>
  <c r="U124" i="33"/>
  <c r="U234" i="33"/>
  <c r="AB234" i="33"/>
  <c r="X234" i="33"/>
  <c r="Q257" i="33"/>
  <c r="Q271" i="33"/>
  <c r="X236" i="33"/>
  <c r="X223" i="33" s="1"/>
  <c r="X27" i="24" s="1"/>
  <c r="AB236" i="33"/>
  <c r="U236" i="33"/>
  <c r="U223" i="33" s="1"/>
  <c r="U27" i="24" s="1"/>
  <c r="X187" i="33"/>
  <c r="AB187" i="33"/>
  <c r="U201" i="33"/>
  <c r="Q258" i="33"/>
  <c r="Q272" i="33"/>
  <c r="S205" i="33"/>
  <c r="Z205" i="33"/>
  <c r="Y205" i="33"/>
  <c r="T205" i="33"/>
  <c r="AC205" i="33"/>
  <c r="Q278" i="33"/>
  <c r="Q264" i="33"/>
  <c r="M164" i="33"/>
  <c r="M151" i="33" s="1"/>
  <c r="M20" i="24" s="1"/>
  <c r="Y105" i="33"/>
  <c r="S105" i="33"/>
  <c r="AC105" i="33"/>
  <c r="AB105" i="33"/>
  <c r="P273" i="33"/>
  <c r="P259" i="33"/>
  <c r="Y276" i="33"/>
  <c r="S276" i="33"/>
  <c r="AB276" i="33"/>
  <c r="AC276" i="33"/>
  <c r="U204" i="33"/>
  <c r="AB190" i="33"/>
  <c r="X190" i="33"/>
  <c r="Y218" i="33"/>
  <c r="R232" i="33"/>
  <c r="Z218" i="33"/>
  <c r="T218" i="33"/>
  <c r="AC218" i="33"/>
  <c r="S218" i="33"/>
  <c r="U123" i="33"/>
  <c r="X109" i="33"/>
  <c r="AB109" i="33"/>
  <c r="Y273" i="33"/>
  <c r="AC273" i="33"/>
  <c r="AB273" i="33"/>
  <c r="S273" i="33"/>
  <c r="AC101" i="33"/>
  <c r="AB101" i="33"/>
  <c r="Y101" i="33"/>
  <c r="S101" i="33"/>
  <c r="X191" i="33"/>
  <c r="U205" i="33"/>
  <c r="AB191" i="33"/>
  <c r="Q268" i="33"/>
  <c r="Q254" i="33"/>
  <c r="AC98" i="33"/>
  <c r="AB98" i="33"/>
  <c r="Y98" i="33"/>
  <c r="S98" i="33"/>
  <c r="P276" i="33"/>
  <c r="P262" i="33"/>
  <c r="Y94" i="33"/>
  <c r="S94" i="33"/>
  <c r="AC94" i="33"/>
  <c r="AB94" i="33"/>
  <c r="U258" i="33"/>
  <c r="AB258" i="33"/>
  <c r="X258" i="33"/>
  <c r="G272" i="33"/>
  <c r="Y212" i="33"/>
  <c r="AC212" i="33"/>
  <c r="R226" i="33"/>
  <c r="T212" i="33"/>
  <c r="S212" i="33"/>
  <c r="Z212" i="33"/>
  <c r="AB181" i="33"/>
  <c r="U195" i="33"/>
  <c r="X181" i="33"/>
  <c r="Q274" i="33"/>
  <c r="Q260" i="33"/>
  <c r="R227" i="33"/>
  <c r="T213" i="33"/>
  <c r="AC213" i="33"/>
  <c r="Z213" i="33"/>
  <c r="S213" i="33"/>
  <c r="Y213" i="33"/>
  <c r="G131" i="33"/>
  <c r="X89" i="33"/>
  <c r="U89" i="33"/>
  <c r="AB89" i="33"/>
  <c r="G103" i="33"/>
  <c r="U196" i="33"/>
  <c r="X182" i="33"/>
  <c r="AB182" i="33"/>
  <c r="Y235" i="33"/>
  <c r="AC235" i="33"/>
  <c r="Z235" i="33"/>
  <c r="S235" i="33"/>
  <c r="T235" i="33"/>
  <c r="P278" i="33"/>
  <c r="P264" i="33"/>
  <c r="X265" i="33"/>
  <c r="U265" i="33"/>
  <c r="AB265" i="33"/>
  <c r="G279" i="33"/>
  <c r="X261" i="33"/>
  <c r="G275" i="33"/>
  <c r="AB261" i="33"/>
  <c r="U261" i="33"/>
  <c r="AC272" i="33"/>
  <c r="AB272" i="33"/>
  <c r="Y272" i="33"/>
  <c r="S272" i="33"/>
  <c r="AB185" i="33"/>
  <c r="X185" i="33"/>
  <c r="U199" i="33"/>
  <c r="AB229" i="33"/>
  <c r="X229" i="33"/>
  <c r="U229" i="33"/>
  <c r="P258" i="33"/>
  <c r="P272" i="33"/>
  <c r="Q269" i="33"/>
  <c r="Q255" i="33"/>
  <c r="G177" i="33"/>
  <c r="G205" i="33"/>
  <c r="AB163" i="33"/>
  <c r="U163" i="33"/>
  <c r="X163" i="33"/>
  <c r="Q174" i="33"/>
  <c r="Q160" i="33"/>
  <c r="Q202" i="33" s="1"/>
  <c r="Q188" i="33"/>
  <c r="G133" i="33"/>
  <c r="X91" i="33"/>
  <c r="G105" i="33"/>
  <c r="AB91" i="33"/>
  <c r="U91" i="33"/>
  <c r="AB189" i="33"/>
  <c r="U203" i="33"/>
  <c r="X189" i="33"/>
  <c r="Y225" i="33"/>
  <c r="AC225" i="33"/>
  <c r="Z225" i="33"/>
  <c r="S225" i="33"/>
  <c r="T225" i="33"/>
  <c r="Y268" i="33"/>
  <c r="AC268" i="33"/>
  <c r="S268" i="33"/>
  <c r="AB268" i="33"/>
  <c r="G269" i="33"/>
  <c r="U255" i="33"/>
  <c r="X255" i="33"/>
  <c r="AB255" i="33"/>
  <c r="Q276" i="33"/>
  <c r="Q262" i="33"/>
  <c r="U259" i="33"/>
  <c r="AB259" i="33"/>
  <c r="G273" i="33"/>
  <c r="X259" i="33"/>
  <c r="AC123" i="33"/>
  <c r="T123" i="33"/>
  <c r="Y123" i="33"/>
  <c r="S123" i="33"/>
  <c r="Z123" i="33"/>
  <c r="X183" i="33"/>
  <c r="AB183" i="33"/>
  <c r="U197" i="33"/>
  <c r="Q263" i="33"/>
  <c r="Q277" i="33"/>
  <c r="U254" i="33"/>
  <c r="G268" i="33"/>
  <c r="AB254" i="33"/>
  <c r="X254" i="33"/>
  <c r="S126" i="33"/>
  <c r="AC126" i="33"/>
  <c r="Y126" i="33"/>
  <c r="T126" i="33"/>
  <c r="Z126" i="33"/>
  <c r="Q170" i="33"/>
  <c r="Q156" i="33"/>
  <c r="Q198" i="33" s="1"/>
  <c r="Q184" i="33"/>
  <c r="U194" i="33"/>
  <c r="AB180" i="33"/>
  <c r="X180" i="33"/>
  <c r="AB177" i="33"/>
  <c r="Y177" i="33"/>
  <c r="AC177" i="33"/>
  <c r="S177" i="33"/>
  <c r="G274" i="33"/>
  <c r="X260" i="33"/>
  <c r="AB260" i="33"/>
  <c r="U260" i="33"/>
  <c r="Q189" i="33"/>
  <c r="Q175" i="33"/>
  <c r="Q161" i="33"/>
  <c r="Q203" i="33" s="1"/>
  <c r="G122" i="33"/>
  <c r="X80" i="33"/>
  <c r="U80" i="33"/>
  <c r="G94" i="33"/>
  <c r="AB80" i="33"/>
  <c r="P270" i="33"/>
  <c r="P256" i="33"/>
  <c r="U131" i="33"/>
  <c r="X117" i="33"/>
  <c r="AB117" i="33"/>
  <c r="X84" i="33"/>
  <c r="U84" i="33"/>
  <c r="AB84" i="33"/>
  <c r="G126" i="33"/>
  <c r="G98" i="33"/>
  <c r="Q182" i="33"/>
  <c r="Q168" i="33"/>
  <c r="Q154" i="33"/>
  <c r="Q196" i="33" s="1"/>
  <c r="G204" i="33"/>
  <c r="X162" i="33"/>
  <c r="G176" i="33"/>
  <c r="U162" i="33"/>
  <c r="AB162" i="33"/>
  <c r="AB235" i="33"/>
  <c r="U235" i="33"/>
  <c r="X235" i="33"/>
  <c r="U230" i="33"/>
  <c r="AB230" i="33"/>
  <c r="X230" i="33"/>
  <c r="AB127" i="33"/>
  <c r="X127" i="33"/>
  <c r="Q158" i="33"/>
  <c r="Q200" i="33" s="1"/>
  <c r="Q172" i="33"/>
  <c r="Q186" i="33"/>
  <c r="G202" i="33"/>
  <c r="G174" i="33"/>
  <c r="X160" i="33"/>
  <c r="U160" i="33"/>
  <c r="AB160" i="33"/>
  <c r="P275" i="33"/>
  <c r="P261" i="33"/>
  <c r="Y174" i="33"/>
  <c r="AC174" i="33"/>
  <c r="AB174" i="33"/>
  <c r="S174" i="33"/>
  <c r="Q256" i="33"/>
  <c r="Q270" i="33"/>
  <c r="P260" i="33"/>
  <c r="P274" i="33"/>
  <c r="U226" i="33"/>
  <c r="X226" i="33"/>
  <c r="AB226" i="33"/>
  <c r="U262" i="33"/>
  <c r="G276" i="33"/>
  <c r="X262" i="33"/>
  <c r="AB262" i="33"/>
  <c r="G170" i="33"/>
  <c r="G198" i="33"/>
  <c r="AB156" i="33"/>
  <c r="U156" i="33"/>
  <c r="X156" i="33"/>
  <c r="Q236" i="33"/>
  <c r="Q223" i="33" s="1"/>
  <c r="Q27" i="24" s="1"/>
  <c r="Q187" i="33"/>
  <c r="Q159" i="33"/>
  <c r="Q201" i="33" s="1"/>
  <c r="Q173" i="33"/>
  <c r="Y133" i="33"/>
  <c r="AC133" i="33"/>
  <c r="Z133" i="33"/>
  <c r="T133" i="33"/>
  <c r="S133" i="33"/>
  <c r="AB270" i="33"/>
  <c r="AC270" i="33"/>
  <c r="Y270" i="33"/>
  <c r="S270" i="33"/>
  <c r="AB116" i="33"/>
  <c r="U130" i="33"/>
  <c r="X116" i="33"/>
  <c r="X224" i="33"/>
  <c r="U224" i="33"/>
  <c r="AB224" i="33"/>
  <c r="N99" i="33"/>
  <c r="U113" i="33"/>
  <c r="U99" i="33"/>
  <c r="X99" i="33"/>
  <c r="Q265" i="33"/>
  <c r="Q279" i="33"/>
  <c r="AC277" i="33"/>
  <c r="AB277" i="33"/>
  <c r="Y277" i="33"/>
  <c r="S277" i="33"/>
  <c r="Q191" i="33"/>
  <c r="Q163" i="33"/>
  <c r="Q205" i="33" s="1"/>
  <c r="Q177" i="33"/>
  <c r="Q183" i="33"/>
  <c r="Q169" i="33"/>
  <c r="Q155" i="33"/>
  <c r="Q197" i="33" s="1"/>
  <c r="S279" i="33"/>
  <c r="AC279" i="33"/>
  <c r="AB279" i="33"/>
  <c r="Y279" i="33"/>
  <c r="X97" i="33"/>
  <c r="U111" i="33"/>
  <c r="U97" i="33"/>
  <c r="N97" i="33"/>
  <c r="Y202" i="33"/>
  <c r="AC202" i="33"/>
  <c r="Z202" i="33"/>
  <c r="S202" i="33"/>
  <c r="T202" i="33"/>
  <c r="U118" i="33"/>
  <c r="X104" i="33"/>
  <c r="U104" i="33"/>
  <c r="N104" i="33"/>
  <c r="AB264" i="33"/>
  <c r="G278" i="33"/>
  <c r="X264" i="33"/>
  <c r="U264" i="33"/>
  <c r="X192" i="33"/>
  <c r="X179" i="33" s="1"/>
  <c r="X22" i="24" s="1"/>
  <c r="AB192" i="33"/>
  <c r="U206" i="33"/>
  <c r="Q162" i="33"/>
  <c r="Q204" i="33" s="1"/>
  <c r="Q190" i="33"/>
  <c r="Q176" i="33"/>
  <c r="G277" i="33"/>
  <c r="X263" i="33"/>
  <c r="U263" i="33"/>
  <c r="AB263" i="33"/>
  <c r="X225" i="33"/>
  <c r="U225" i="33"/>
  <c r="AB225" i="33"/>
  <c r="Q266" i="33"/>
  <c r="Q253" i="33" s="1"/>
  <c r="Q31" i="24" s="1"/>
  <c r="Q280" i="33"/>
  <c r="Q267" i="33" s="1"/>
  <c r="Q32" i="24" s="1"/>
  <c r="P279" i="33"/>
  <c r="P265" i="33"/>
  <c r="X257" i="33"/>
  <c r="U257" i="33"/>
  <c r="AB257" i="33"/>
  <c r="G271" i="33"/>
  <c r="X157" i="33"/>
  <c r="G199" i="33"/>
  <c r="U157" i="33"/>
  <c r="AB157" i="33"/>
  <c r="G171" i="33"/>
  <c r="S95" i="33"/>
  <c r="Y95" i="33"/>
  <c r="AC95" i="33"/>
  <c r="AB95" i="33"/>
  <c r="G173" i="33"/>
  <c r="AB159" i="33"/>
  <c r="X159" i="33"/>
  <c r="G201" i="33"/>
  <c r="U159" i="33"/>
  <c r="S103" i="33"/>
  <c r="AB103" i="33"/>
  <c r="AC103" i="33"/>
  <c r="Y103" i="33"/>
  <c r="Q181" i="33"/>
  <c r="Q167" i="33"/>
  <c r="Q153" i="33"/>
  <c r="Q195" i="33" s="1"/>
  <c r="U164" i="33"/>
  <c r="G206" i="33"/>
  <c r="G193" i="33" s="1"/>
  <c r="G23" i="24" s="1"/>
  <c r="X164" i="33"/>
  <c r="X151" i="33" s="1"/>
  <c r="X20" i="24" s="1"/>
  <c r="AB164" i="33"/>
  <c r="G178" i="33"/>
  <c r="G165" i="33" s="1"/>
  <c r="G21" i="24" s="1"/>
  <c r="AB108" i="33"/>
  <c r="U122" i="33"/>
  <c r="X108" i="33"/>
  <c r="S124" i="33"/>
  <c r="Z124" i="33"/>
  <c r="AC124" i="33"/>
  <c r="T124" i="33"/>
  <c r="Y124" i="33"/>
  <c r="AB112" i="33"/>
  <c r="U126" i="33"/>
  <c r="X112" i="33"/>
  <c r="G196" i="33"/>
  <c r="G168" i="33"/>
  <c r="U154" i="33"/>
  <c r="AB154" i="33"/>
  <c r="X154" i="33"/>
  <c r="AB278" i="33"/>
  <c r="S278" i="33"/>
  <c r="AC278" i="33"/>
  <c r="Y278" i="33"/>
  <c r="G200" i="33"/>
  <c r="U158" i="33"/>
  <c r="AB158" i="33"/>
  <c r="X158" i="33"/>
  <c r="G172" i="33"/>
  <c r="G194" i="33"/>
  <c r="G166" i="33"/>
  <c r="AB152" i="33"/>
  <c r="U152" i="33"/>
  <c r="X152" i="33"/>
  <c r="X88" i="33"/>
  <c r="U88" i="33"/>
  <c r="AB88" i="33"/>
  <c r="G130" i="33"/>
  <c r="G102" i="33"/>
  <c r="G96" i="33"/>
  <c r="U82" i="33"/>
  <c r="AB82" i="33"/>
  <c r="X82" i="33"/>
  <c r="G124" i="33"/>
  <c r="Y234" i="33"/>
  <c r="AC234" i="33"/>
  <c r="T234" i="33"/>
  <c r="S234" i="33"/>
  <c r="Z234" i="33"/>
  <c r="AB274" i="33"/>
  <c r="S274" i="33"/>
  <c r="Y274" i="33"/>
  <c r="AC274" i="33"/>
  <c r="R233" i="33"/>
  <c r="AC219" i="33"/>
  <c r="S219" i="33"/>
  <c r="Y219" i="33"/>
  <c r="Z219" i="33"/>
  <c r="T219" i="33"/>
  <c r="U228" i="33"/>
  <c r="AB228" i="33"/>
  <c r="X228" i="33"/>
  <c r="Q273" i="33"/>
  <c r="Q259" i="33"/>
  <c r="AB231" i="33"/>
  <c r="X231" i="33"/>
  <c r="U231" i="33"/>
  <c r="AC131" i="33"/>
  <c r="T131" i="33"/>
  <c r="Y131" i="33"/>
  <c r="Z131" i="33"/>
  <c r="S131" i="33"/>
  <c r="AB96" i="33"/>
  <c r="S96" i="33"/>
  <c r="AC96" i="33"/>
  <c r="Y96" i="33"/>
  <c r="R229" i="33"/>
  <c r="AC215" i="33"/>
  <c r="Z215" i="33"/>
  <c r="S215" i="33"/>
  <c r="Y215" i="33"/>
  <c r="T215" i="33"/>
  <c r="R231" i="33"/>
  <c r="Z217" i="33"/>
  <c r="Y217" i="33"/>
  <c r="T217" i="33"/>
  <c r="S217" i="33"/>
  <c r="AC217" i="33"/>
  <c r="U202" i="33"/>
  <c r="AB188" i="33"/>
  <c r="X188" i="33"/>
  <c r="Q171" i="33"/>
  <c r="Q185" i="33"/>
  <c r="Q157" i="33"/>
  <c r="Q199" i="33" s="1"/>
  <c r="S210" i="33"/>
  <c r="Z210" i="33"/>
  <c r="R224" i="33"/>
  <c r="T210" i="33"/>
  <c r="AC210" i="33"/>
  <c r="Y210" i="33"/>
  <c r="Q275" i="33"/>
  <c r="Q261" i="33"/>
  <c r="G169" i="33"/>
  <c r="AB155" i="33"/>
  <c r="U155" i="33"/>
  <c r="G197" i="33"/>
  <c r="X155" i="33"/>
  <c r="S275" i="33"/>
  <c r="AC275" i="33"/>
  <c r="AB275" i="33"/>
  <c r="Y275" i="33"/>
  <c r="X125" i="33"/>
  <c r="AB125" i="33"/>
  <c r="U198" i="33"/>
  <c r="X184" i="33"/>
  <c r="AB184" i="33"/>
  <c r="R230" i="33"/>
  <c r="AC216" i="33"/>
  <c r="T216" i="33"/>
  <c r="Y216" i="33"/>
  <c r="S216" i="33"/>
  <c r="Z216" i="33"/>
  <c r="AB233" i="33"/>
  <c r="U233" i="33"/>
  <c r="X233" i="33"/>
  <c r="S122" i="33"/>
  <c r="Z122" i="33"/>
  <c r="Y122" i="33"/>
  <c r="AC122" i="33"/>
  <c r="T122" i="33"/>
  <c r="U133" i="33"/>
  <c r="AB119" i="33"/>
  <c r="X119" i="33"/>
  <c r="X161" i="33"/>
  <c r="G175" i="33"/>
  <c r="AB161" i="33"/>
  <c r="G203" i="33"/>
  <c r="U161" i="33"/>
  <c r="AB256" i="33"/>
  <c r="G270" i="33"/>
  <c r="U256" i="33"/>
  <c r="X256" i="33"/>
  <c r="P263" i="33"/>
  <c r="P277" i="33"/>
  <c r="G123" i="33"/>
  <c r="G95" i="33"/>
  <c r="AB81" i="33"/>
  <c r="X81" i="33"/>
  <c r="U81" i="33"/>
  <c r="U200" i="33"/>
  <c r="X186" i="33"/>
  <c r="AB186" i="33"/>
  <c r="U114" i="33"/>
  <c r="X100" i="33"/>
  <c r="N100" i="33"/>
  <c r="U100" i="33"/>
  <c r="W47" i="23"/>
  <c r="T10" i="23"/>
  <c r="T11" i="23" s="1"/>
  <c r="T21" i="33" s="1"/>
  <c r="T7" i="24" s="1"/>
  <c r="R11" i="23"/>
  <c r="R21" i="33" s="1"/>
  <c r="S10" i="23"/>
  <c r="U53" i="23"/>
  <c r="S38" i="23"/>
  <c r="AJ11" i="23"/>
  <c r="Z10" i="23" s="1"/>
  <c r="W10" i="23"/>
  <c r="AJ8" i="23"/>
  <c r="R25" i="23"/>
  <c r="T24" i="23"/>
  <c r="T25" i="23" s="1"/>
  <c r="S24" i="23"/>
  <c r="AI70" i="23"/>
  <c r="AI60" i="23"/>
  <c r="AI71" i="23"/>
  <c r="R51" i="23"/>
  <c r="T50" i="23"/>
  <c r="T51" i="23" s="1"/>
  <c r="S50" i="23"/>
  <c r="S72" i="23"/>
  <c r="AD72" i="23" s="1"/>
  <c r="AD75" i="23"/>
  <c r="B20" i="35" s="1"/>
  <c r="S53" i="23"/>
  <c r="R22" i="23"/>
  <c r="T21" i="23"/>
  <c r="T22" i="23" s="1"/>
  <c r="T19" i="23" s="1"/>
  <c r="S21" i="23"/>
  <c r="R44" i="23"/>
  <c r="V36" i="23"/>
  <c r="V4" i="23" s="1"/>
  <c r="Q36" i="23"/>
  <c r="D36" i="23"/>
  <c r="AC66" i="23"/>
  <c r="AC67" i="23" s="1"/>
  <c r="AC61" i="23" s="1"/>
  <c r="AB66" i="23"/>
  <c r="AB67" i="23" s="1"/>
  <c r="AB61" i="23" s="1"/>
  <c r="AA67" i="23"/>
  <c r="AA61" i="23" s="1"/>
  <c r="U16" i="23"/>
  <c r="U17" i="23" s="1"/>
  <c r="U49" i="33" s="1"/>
  <c r="U9" i="24" s="1"/>
  <c r="S17" i="23"/>
  <c r="S49" i="33" s="1"/>
  <c r="S9" i="24" s="1"/>
  <c r="R48" i="23"/>
  <c r="T47" i="23"/>
  <c r="T48" i="23" s="1"/>
  <c r="S47" i="23"/>
  <c r="AI19" i="23"/>
  <c r="W21" i="23"/>
  <c r="AJ22" i="23"/>
  <c r="W24" i="23"/>
  <c r="AJ25" i="23"/>
  <c r="Z24" i="23" s="1"/>
  <c r="AI42" i="23"/>
  <c r="R41" i="23"/>
  <c r="E36" i="23"/>
  <c r="T182" i="33" l="1"/>
  <c r="S182" i="33"/>
  <c r="Z182" i="33"/>
  <c r="AC182" i="33"/>
  <c r="Y182" i="33"/>
  <c r="Y187" i="33"/>
  <c r="AC187" i="33"/>
  <c r="S187" i="33"/>
  <c r="Z187" i="33"/>
  <c r="T187" i="33"/>
  <c r="R170" i="33"/>
  <c r="S156" i="33"/>
  <c r="L214" i="33"/>
  <c r="Z156" i="33"/>
  <c r="T156" i="33"/>
  <c r="R198" i="33"/>
  <c r="AC156" i="33"/>
  <c r="Y156" i="33"/>
  <c r="Y183" i="33"/>
  <c r="T183" i="33"/>
  <c r="AC183" i="33"/>
  <c r="Z183" i="33"/>
  <c r="S183" i="33"/>
  <c r="Y155" i="33"/>
  <c r="R197" i="33"/>
  <c r="Z155" i="33"/>
  <c r="AC155" i="33"/>
  <c r="R169" i="33"/>
  <c r="T155" i="33"/>
  <c r="S155" i="33"/>
  <c r="L213" i="33"/>
  <c r="T159" i="33"/>
  <c r="L217" i="33"/>
  <c r="AC159" i="33"/>
  <c r="S159" i="33"/>
  <c r="Y159" i="33"/>
  <c r="Z159" i="33"/>
  <c r="R201" i="33"/>
  <c r="R173" i="33"/>
  <c r="Z161" i="33"/>
  <c r="S161" i="33"/>
  <c r="Y161" i="33"/>
  <c r="T161" i="33"/>
  <c r="L219" i="33"/>
  <c r="R175" i="33"/>
  <c r="R203" i="33"/>
  <c r="AC161" i="33"/>
  <c r="R167" i="33"/>
  <c r="Z153" i="33"/>
  <c r="S153" i="33"/>
  <c r="L211" i="33"/>
  <c r="AC153" i="33"/>
  <c r="T153" i="33"/>
  <c r="R195" i="33"/>
  <c r="Y153" i="33"/>
  <c r="L215" i="33"/>
  <c r="S157" i="33"/>
  <c r="R171" i="33"/>
  <c r="T157" i="33"/>
  <c r="Y157" i="33"/>
  <c r="R199" i="33"/>
  <c r="Z157" i="33"/>
  <c r="AC157" i="33"/>
  <c r="S181" i="33"/>
  <c r="AC181" i="33"/>
  <c r="T181" i="33"/>
  <c r="Y181" i="33"/>
  <c r="Z181" i="33"/>
  <c r="AC185" i="33"/>
  <c r="S185" i="33"/>
  <c r="T185" i="33"/>
  <c r="Y185" i="33"/>
  <c r="Z185" i="33"/>
  <c r="Z152" i="33"/>
  <c r="Y152" i="33"/>
  <c r="T152" i="33"/>
  <c r="R194" i="33"/>
  <c r="AC152" i="33"/>
  <c r="L210" i="33"/>
  <c r="R166" i="33"/>
  <c r="S152" i="33"/>
  <c r="Z190" i="33"/>
  <c r="Y190" i="33"/>
  <c r="T190" i="33"/>
  <c r="AC190" i="33"/>
  <c r="S190" i="33"/>
  <c r="T184" i="33"/>
  <c r="Z184" i="33"/>
  <c r="AC184" i="33"/>
  <c r="S184" i="33"/>
  <c r="Y184" i="33"/>
  <c r="Z189" i="33"/>
  <c r="AC189" i="33"/>
  <c r="T189" i="33"/>
  <c r="S189" i="33"/>
  <c r="Y189" i="33"/>
  <c r="AC180" i="33"/>
  <c r="Y180" i="33"/>
  <c r="Z180" i="33"/>
  <c r="S180" i="33"/>
  <c r="T180" i="33"/>
  <c r="S162" i="33"/>
  <c r="L220" i="33"/>
  <c r="AC162" i="33"/>
  <c r="R204" i="33"/>
  <c r="T162" i="33"/>
  <c r="Z162" i="33"/>
  <c r="Y162" i="33"/>
  <c r="R176" i="33"/>
  <c r="T154" i="33"/>
  <c r="R168" i="33"/>
  <c r="R196" i="33"/>
  <c r="AC154" i="33"/>
  <c r="Z154" i="33"/>
  <c r="L212" i="33"/>
  <c r="Y154" i="33"/>
  <c r="S154" i="33"/>
  <c r="AI76" i="23"/>
  <c r="U61" i="23"/>
  <c r="T38" i="23"/>
  <c r="T39" i="23" s="1"/>
  <c r="AI51" i="23"/>
  <c r="W50" i="23" s="1"/>
  <c r="Y50" i="23" s="1"/>
  <c r="Y51" i="23" s="1"/>
  <c r="AI45" i="23"/>
  <c r="AJ45" i="23" s="1"/>
  <c r="Z44" i="23" s="1"/>
  <c r="AB253" i="33"/>
  <c r="AB31" i="24" s="1"/>
  <c r="AD31" i="23"/>
  <c r="B3" i="35" s="1"/>
  <c r="D3" i="35" s="1"/>
  <c r="AI39" i="23"/>
  <c r="W38" i="23" s="1"/>
  <c r="W39" i="23" s="1"/>
  <c r="W137" i="33" s="1"/>
  <c r="W19" i="24" s="1"/>
  <c r="D2" i="35"/>
  <c r="AH3" i="23"/>
  <c r="AH81" i="23"/>
  <c r="G56" i="3" s="1"/>
  <c r="G6" i="3"/>
  <c r="G137" i="3" s="1"/>
  <c r="D137" i="3" s="1"/>
  <c r="AI36" i="23"/>
  <c r="AJ48" i="23" s="1"/>
  <c r="Z47" i="23" s="1"/>
  <c r="Q4" i="23"/>
  <c r="F4" i="23"/>
  <c r="W14" i="23"/>
  <c r="Y13" i="23"/>
  <c r="Y14" i="23" s="1"/>
  <c r="Y35" i="33" s="1"/>
  <c r="Y8" i="24" s="1"/>
  <c r="I4" i="23"/>
  <c r="R5" i="23"/>
  <c r="G4" i="23"/>
  <c r="N4" i="23"/>
  <c r="P4" i="23"/>
  <c r="M4" i="23"/>
  <c r="AA253" i="33"/>
  <c r="AA31" i="24" s="1"/>
  <c r="R8" i="23"/>
  <c r="S7" i="23"/>
  <c r="T7" i="23"/>
  <c r="T8" i="23" s="1"/>
  <c r="W7" i="23"/>
  <c r="AJ17" i="23"/>
  <c r="Z16" i="23" s="1"/>
  <c r="AI5" i="23"/>
  <c r="D5" i="35"/>
  <c r="L4" i="23"/>
  <c r="AG81" i="23"/>
  <c r="O4" i="23"/>
  <c r="H4" i="23"/>
  <c r="K4" i="23"/>
  <c r="E4" i="23"/>
  <c r="D20" i="35"/>
  <c r="L239" i="33"/>
  <c r="L30" i="24" s="1"/>
  <c r="L266" i="33"/>
  <c r="R253" i="33"/>
  <c r="R31" i="24" s="1"/>
  <c r="T266" i="33"/>
  <c r="T253" i="33" s="1"/>
  <c r="T31" i="24" s="1"/>
  <c r="AC266" i="33"/>
  <c r="AC253" i="33" s="1"/>
  <c r="AC31" i="24" s="1"/>
  <c r="R280" i="33"/>
  <c r="Z266" i="33"/>
  <c r="Z253" i="33" s="1"/>
  <c r="Z31" i="24" s="1"/>
  <c r="Y266" i="33"/>
  <c r="Y253" i="33" s="1"/>
  <c r="Y31" i="24" s="1"/>
  <c r="S266" i="33"/>
  <c r="S253" i="33" s="1"/>
  <c r="S31" i="24" s="1"/>
  <c r="L79" i="33"/>
  <c r="L13" i="24" s="1"/>
  <c r="L106" i="33"/>
  <c r="R7" i="24"/>
  <c r="F9" i="24"/>
  <c r="F239" i="33"/>
  <c r="F30" i="24" s="1"/>
  <c r="F266" i="33"/>
  <c r="F253" i="33" s="1"/>
  <c r="F31" i="24" s="1"/>
  <c r="F280" i="33"/>
  <c r="F267" i="33" s="1"/>
  <c r="F32" i="24" s="1"/>
  <c r="AB35" i="33"/>
  <c r="AB8" i="24" s="1"/>
  <c r="R35" i="33"/>
  <c r="R150" i="33"/>
  <c r="S35" i="33"/>
  <c r="S8" i="24" s="1"/>
  <c r="R296" i="33"/>
  <c r="AC35" i="33"/>
  <c r="AC8" i="24" s="1"/>
  <c r="U120" i="33"/>
  <c r="U107" i="33" s="1"/>
  <c r="U15" i="24" s="1"/>
  <c r="X106" i="33"/>
  <c r="X93" i="33" s="1"/>
  <c r="X14" i="24" s="1"/>
  <c r="U106" i="33"/>
  <c r="U93" i="33" s="1"/>
  <c r="U14" i="24" s="1"/>
  <c r="N106" i="33"/>
  <c r="N93" i="33" s="1"/>
  <c r="N14" i="24" s="1"/>
  <c r="M106" i="33"/>
  <c r="M93" i="33" s="1"/>
  <c r="M14" i="24" s="1"/>
  <c r="X134" i="33"/>
  <c r="X121" i="33" s="1"/>
  <c r="X16" i="24" s="1"/>
  <c r="AB134" i="33"/>
  <c r="AB121" i="33" s="1"/>
  <c r="AB16" i="24" s="1"/>
  <c r="P236" i="33"/>
  <c r="P223" i="33" s="1"/>
  <c r="P27" i="24" s="1"/>
  <c r="P266" i="33"/>
  <c r="P253" i="33" s="1"/>
  <c r="P31" i="24" s="1"/>
  <c r="P280" i="33"/>
  <c r="P267" i="33" s="1"/>
  <c r="P32" i="24" s="1"/>
  <c r="N95" i="33"/>
  <c r="U95" i="33"/>
  <c r="X95" i="33"/>
  <c r="U109" i="33"/>
  <c r="AB124" i="33"/>
  <c r="X124" i="33"/>
  <c r="U185" i="33"/>
  <c r="N171" i="33"/>
  <c r="X171" i="33"/>
  <c r="U171" i="33"/>
  <c r="AB126" i="33"/>
  <c r="X126" i="33"/>
  <c r="S227" i="33"/>
  <c r="Z227" i="33"/>
  <c r="Y227" i="33"/>
  <c r="AC227" i="33"/>
  <c r="T227" i="33"/>
  <c r="AB123" i="33"/>
  <c r="X123" i="33"/>
  <c r="U178" i="33"/>
  <c r="N178" i="33"/>
  <c r="N165" i="33" s="1"/>
  <c r="N21" i="24" s="1"/>
  <c r="U192" i="33"/>
  <c r="X178" i="33"/>
  <c r="X165" i="33" s="1"/>
  <c r="X21" i="24" s="1"/>
  <c r="U268" i="33"/>
  <c r="X268" i="33"/>
  <c r="AB195" i="33"/>
  <c r="X195" i="33"/>
  <c r="U189" i="33"/>
  <c r="U175" i="33"/>
  <c r="N175" i="33"/>
  <c r="X175" i="33"/>
  <c r="Y229" i="33"/>
  <c r="Z229" i="33"/>
  <c r="T229" i="33"/>
  <c r="S229" i="33"/>
  <c r="AC229" i="33"/>
  <c r="X166" i="33"/>
  <c r="U166" i="33"/>
  <c r="U180" i="33"/>
  <c r="N166" i="33"/>
  <c r="U187" i="33"/>
  <c r="X173" i="33"/>
  <c r="N173" i="33"/>
  <c r="U173" i="33"/>
  <c r="X198" i="33"/>
  <c r="AB198" i="33"/>
  <c r="X174" i="33"/>
  <c r="U174" i="33"/>
  <c r="U188" i="33"/>
  <c r="N174" i="33"/>
  <c r="U108" i="33"/>
  <c r="X94" i="33"/>
  <c r="U94" i="33"/>
  <c r="N94" i="33"/>
  <c r="Z226" i="33"/>
  <c r="Y226" i="33"/>
  <c r="S226" i="33"/>
  <c r="T226" i="33"/>
  <c r="AC226" i="33"/>
  <c r="Q206" i="33"/>
  <c r="Q193" i="33" s="1"/>
  <c r="Q23" i="24" s="1"/>
  <c r="Y228" i="33"/>
  <c r="T228" i="33"/>
  <c r="AC228" i="33"/>
  <c r="Z228" i="33"/>
  <c r="S228" i="33"/>
  <c r="Y230" i="33"/>
  <c r="Z230" i="33"/>
  <c r="T230" i="33"/>
  <c r="S230" i="33"/>
  <c r="AC230" i="33"/>
  <c r="Y231" i="33"/>
  <c r="Z231" i="33"/>
  <c r="S231" i="33"/>
  <c r="AC231" i="33"/>
  <c r="T231" i="33"/>
  <c r="X194" i="33"/>
  <c r="AB194" i="33"/>
  <c r="AB200" i="33"/>
  <c r="X200" i="33"/>
  <c r="AB199" i="33"/>
  <c r="X199" i="33"/>
  <c r="U170" i="33"/>
  <c r="X170" i="33"/>
  <c r="U184" i="33"/>
  <c r="N170" i="33"/>
  <c r="X202" i="33"/>
  <c r="AB202" i="33"/>
  <c r="AB204" i="33"/>
  <c r="X204" i="33"/>
  <c r="U269" i="33"/>
  <c r="X269" i="33"/>
  <c r="AB203" i="33"/>
  <c r="X203" i="33"/>
  <c r="N176" i="33"/>
  <c r="U176" i="33"/>
  <c r="X176" i="33"/>
  <c r="U190" i="33"/>
  <c r="AB131" i="33"/>
  <c r="X131" i="33"/>
  <c r="M178" i="33"/>
  <c r="M165" i="33" s="1"/>
  <c r="M21" i="24" s="1"/>
  <c r="AB197" i="33"/>
  <c r="X197" i="33"/>
  <c r="X278" i="33"/>
  <c r="U278" i="33"/>
  <c r="X274" i="33"/>
  <c r="U274" i="33"/>
  <c r="X270" i="33"/>
  <c r="U270" i="33"/>
  <c r="Y224" i="33"/>
  <c r="T224" i="33"/>
  <c r="S224" i="33"/>
  <c r="AC224" i="33"/>
  <c r="Z224" i="33"/>
  <c r="U116" i="33"/>
  <c r="N102" i="33"/>
  <c r="U102" i="33"/>
  <c r="X102" i="33"/>
  <c r="AB196" i="33"/>
  <c r="X196" i="33"/>
  <c r="AB206" i="33"/>
  <c r="X206" i="33"/>
  <c r="X193" i="33" s="1"/>
  <c r="X23" i="24" s="1"/>
  <c r="U271" i="33"/>
  <c r="X271" i="33"/>
  <c r="AB122" i="33"/>
  <c r="X122" i="33"/>
  <c r="U119" i="33"/>
  <c r="U105" i="33"/>
  <c r="X105" i="33"/>
  <c r="N105" i="33"/>
  <c r="X275" i="33"/>
  <c r="U275" i="33"/>
  <c r="N103" i="33"/>
  <c r="U103" i="33"/>
  <c r="U117" i="33"/>
  <c r="X103" i="33"/>
  <c r="U272" i="33"/>
  <c r="X272" i="33"/>
  <c r="U181" i="33"/>
  <c r="U167" i="33"/>
  <c r="N167" i="33"/>
  <c r="X167" i="33"/>
  <c r="U110" i="33"/>
  <c r="X96" i="33"/>
  <c r="N96" i="33"/>
  <c r="U96" i="33"/>
  <c r="N168" i="33"/>
  <c r="X168" i="33"/>
  <c r="U182" i="33"/>
  <c r="U168" i="33"/>
  <c r="U277" i="33"/>
  <c r="X277" i="33"/>
  <c r="Y233" i="33"/>
  <c r="AC233" i="33"/>
  <c r="Z233" i="33"/>
  <c r="T233" i="33"/>
  <c r="S233" i="33"/>
  <c r="AB130" i="33"/>
  <c r="X130" i="33"/>
  <c r="X276" i="33"/>
  <c r="U276" i="33"/>
  <c r="X273" i="33"/>
  <c r="U273" i="33"/>
  <c r="X205" i="33"/>
  <c r="AB205" i="33"/>
  <c r="U280" i="33"/>
  <c r="U267" i="33" s="1"/>
  <c r="U32" i="24" s="1"/>
  <c r="X280" i="33"/>
  <c r="X267" i="33" s="1"/>
  <c r="X32" i="24" s="1"/>
  <c r="X169" i="33"/>
  <c r="N169" i="33"/>
  <c r="U183" i="33"/>
  <c r="U169" i="33"/>
  <c r="N172" i="33"/>
  <c r="X172" i="33"/>
  <c r="U172" i="33"/>
  <c r="U186" i="33"/>
  <c r="AB201" i="33"/>
  <c r="X201" i="33"/>
  <c r="U112" i="33"/>
  <c r="U98" i="33"/>
  <c r="N98" i="33"/>
  <c r="X98" i="33"/>
  <c r="X133" i="33"/>
  <c r="AB133" i="33"/>
  <c r="X177" i="33"/>
  <c r="N177" i="33"/>
  <c r="U191" i="33"/>
  <c r="U177" i="33"/>
  <c r="U279" i="33"/>
  <c r="X279" i="33"/>
  <c r="Y232" i="33"/>
  <c r="Z232" i="33"/>
  <c r="S232" i="33"/>
  <c r="T232" i="33"/>
  <c r="AC232" i="33"/>
  <c r="AA24" i="23"/>
  <c r="Z25" i="23"/>
  <c r="U47" i="23"/>
  <c r="U48" i="23" s="1"/>
  <c r="S48" i="23"/>
  <c r="Y38" i="23"/>
  <c r="Y39" i="23" s="1"/>
  <c r="Z7" i="23"/>
  <c r="W48" i="23"/>
  <c r="W179" i="33" s="1"/>
  <c r="W22" i="24" s="1"/>
  <c r="Y47" i="23"/>
  <c r="Y48" i="23" s="1"/>
  <c r="W25" i="23"/>
  <c r="W79" i="33" s="1"/>
  <c r="W13" i="24" s="1"/>
  <c r="Y24" i="23"/>
  <c r="Y25" i="23" s="1"/>
  <c r="AJ52" i="23"/>
  <c r="W11" i="23"/>
  <c r="Y10" i="23"/>
  <c r="Y11" i="23" s="1"/>
  <c r="Y21" i="33" s="1"/>
  <c r="Y7" i="24" s="1"/>
  <c r="AD67" i="23"/>
  <c r="B8" i="35" s="1"/>
  <c r="AI72" i="23"/>
  <c r="S39" i="23"/>
  <c r="U38" i="23"/>
  <c r="U39" i="23" s="1"/>
  <c r="U137" i="33" s="1"/>
  <c r="U19" i="24" s="1"/>
  <c r="S11" i="23"/>
  <c r="U10" i="23"/>
  <c r="U11" i="23" s="1"/>
  <c r="S22" i="23"/>
  <c r="U21" i="23"/>
  <c r="U22" i="23" s="1"/>
  <c r="D4" i="23"/>
  <c r="W44" i="23"/>
  <c r="Z21" i="23"/>
  <c r="AJ19" i="23"/>
  <c r="S44" i="23"/>
  <c r="R45" i="23"/>
  <c r="R36" i="23" s="1"/>
  <c r="T44" i="23"/>
  <c r="T45" i="23" s="1"/>
  <c r="R19" i="23"/>
  <c r="AI53" i="23"/>
  <c r="AJ76" i="23" s="1"/>
  <c r="AJ72" i="23" s="1"/>
  <c r="U24" i="23"/>
  <c r="U25" i="23" s="1"/>
  <c r="U79" i="33" s="1"/>
  <c r="U13" i="24" s="1"/>
  <c r="S25" i="23"/>
  <c r="R42" i="23"/>
  <c r="T41" i="23"/>
  <c r="T42" i="23" s="1"/>
  <c r="S41" i="23"/>
  <c r="W41" i="23"/>
  <c r="Z11" i="23"/>
  <c r="Z21" i="33" s="1"/>
  <c r="Z7" i="24" s="1"/>
  <c r="AA10" i="23"/>
  <c r="Y21" i="23"/>
  <c r="Y22" i="23" s="1"/>
  <c r="W22" i="23"/>
  <c r="S51" i="23"/>
  <c r="U50" i="23"/>
  <c r="U51" i="23" s="1"/>
  <c r="U193" i="33" s="1"/>
  <c r="U23" i="24" s="1"/>
  <c r="W69" i="23"/>
  <c r="AI61" i="23"/>
  <c r="S203" i="33" l="1"/>
  <c r="T203" i="33"/>
  <c r="AC203" i="33"/>
  <c r="Y203" i="33"/>
  <c r="Z203" i="33"/>
  <c r="S201" i="33"/>
  <c r="Y201" i="33"/>
  <c r="Z201" i="33"/>
  <c r="T201" i="33"/>
  <c r="AC201" i="33"/>
  <c r="AC196" i="33"/>
  <c r="Z196" i="33"/>
  <c r="T196" i="33"/>
  <c r="Y196" i="33"/>
  <c r="S196" i="33"/>
  <c r="Y166" i="33"/>
  <c r="AB166" i="33"/>
  <c r="AC166" i="33"/>
  <c r="S166" i="33"/>
  <c r="Y167" i="33"/>
  <c r="AC167" i="33"/>
  <c r="AB167" i="33"/>
  <c r="S167" i="33"/>
  <c r="T198" i="33"/>
  <c r="Y198" i="33"/>
  <c r="AC198" i="33"/>
  <c r="Z198" i="33"/>
  <c r="S198" i="33"/>
  <c r="AC168" i="33"/>
  <c r="AB168" i="33"/>
  <c r="Y168" i="33"/>
  <c r="S168" i="33"/>
  <c r="S173" i="33"/>
  <c r="AB173" i="33"/>
  <c r="AC173" i="33"/>
  <c r="Y173" i="33"/>
  <c r="S195" i="33"/>
  <c r="Z195" i="33"/>
  <c r="AC195" i="33"/>
  <c r="Y195" i="33"/>
  <c r="T195" i="33"/>
  <c r="S194" i="33"/>
  <c r="Y194" i="33"/>
  <c r="Z194" i="33"/>
  <c r="AC194" i="33"/>
  <c r="T194" i="33"/>
  <c r="AC199" i="33"/>
  <c r="Z199" i="33"/>
  <c r="Y199" i="33"/>
  <c r="S199" i="33"/>
  <c r="T199" i="33"/>
  <c r="S169" i="33"/>
  <c r="Y169" i="33"/>
  <c r="AB169" i="33"/>
  <c r="AC169" i="33"/>
  <c r="AB170" i="33"/>
  <c r="S170" i="33"/>
  <c r="Y170" i="33"/>
  <c r="AC170" i="33"/>
  <c r="AC171" i="33"/>
  <c r="AB171" i="33"/>
  <c r="Y171" i="33"/>
  <c r="S171" i="33"/>
  <c r="AB176" i="33"/>
  <c r="S176" i="33"/>
  <c r="AC176" i="33"/>
  <c r="Y176" i="33"/>
  <c r="Y175" i="33"/>
  <c r="AC175" i="33"/>
  <c r="AB175" i="33"/>
  <c r="S175" i="33"/>
  <c r="S204" i="33"/>
  <c r="AC204" i="33"/>
  <c r="Y204" i="33"/>
  <c r="Z204" i="33"/>
  <c r="T204" i="33"/>
  <c r="S197" i="33"/>
  <c r="Z197" i="33"/>
  <c r="AC197" i="33"/>
  <c r="Y197" i="33"/>
  <c r="T197" i="33"/>
  <c r="AJ60" i="23"/>
  <c r="AJ42" i="23"/>
  <c r="Z41" i="23" s="1"/>
  <c r="U179" i="33"/>
  <c r="U22" i="24" s="1"/>
  <c r="AJ51" i="23"/>
  <c r="Z50" i="23" s="1"/>
  <c r="W19" i="23"/>
  <c r="W51" i="23"/>
  <c r="W193" i="33" s="1"/>
  <c r="W23" i="24" s="1"/>
  <c r="AJ39" i="23"/>
  <c r="AJ36" i="23" s="1"/>
  <c r="AJ5" i="23"/>
  <c r="Y19" i="23"/>
  <c r="H56" i="3"/>
  <c r="G57" i="3"/>
  <c r="G58" i="3" s="1"/>
  <c r="G59" i="3" s="1"/>
  <c r="G60" i="3" s="1"/>
  <c r="G61" i="3" s="1"/>
  <c r="G62" i="3" s="1"/>
  <c r="G63" i="3" s="1"/>
  <c r="G64" i="3" s="1"/>
  <c r="G65" i="3" s="1"/>
  <c r="U21" i="33"/>
  <c r="U7" i="24" s="1"/>
  <c r="G7" i="3"/>
  <c r="G138" i="3" s="1"/>
  <c r="D138" i="3" s="1"/>
  <c r="H6" i="3"/>
  <c r="W21" i="33"/>
  <c r="W7" i="24" s="1"/>
  <c r="AD30" i="24"/>
  <c r="T6" i="33"/>
  <c r="T6" i="24" s="1"/>
  <c r="T5" i="23"/>
  <c r="S21" i="33"/>
  <c r="Z17" i="23"/>
  <c r="Z49" i="33" s="1"/>
  <c r="AA16" i="23"/>
  <c r="Y7" i="23"/>
  <c r="Y8" i="23" s="1"/>
  <c r="W8" i="23"/>
  <c r="W6" i="33" s="1"/>
  <c r="W6" i="24" s="1"/>
  <c r="S19" i="23"/>
  <c r="S8" i="23"/>
  <c r="S6" i="33" s="1"/>
  <c r="S6" i="24" s="1"/>
  <c r="U7" i="23"/>
  <c r="U8" i="23" s="1"/>
  <c r="U6" i="33" s="1"/>
  <c r="U6" i="24" s="1"/>
  <c r="AD14" i="23"/>
  <c r="B18" i="35" s="1"/>
  <c r="W35" i="33"/>
  <c r="W8" i="24" s="1"/>
  <c r="D8" i="35"/>
  <c r="R6" i="33"/>
  <c r="R6" i="24" s="1"/>
  <c r="AD239" i="33"/>
  <c r="AE239" i="33" s="1"/>
  <c r="AF239" i="33" s="1"/>
  <c r="T178" i="33"/>
  <c r="T165" i="33" s="1"/>
  <c r="T21" i="24" s="1"/>
  <c r="R164" i="33"/>
  <c r="Z150" i="33"/>
  <c r="R192" i="33"/>
  <c r="S150" i="33"/>
  <c r="S137" i="33" s="1"/>
  <c r="S19" i="24" s="1"/>
  <c r="R137" i="33"/>
  <c r="R19" i="24" s="1"/>
  <c r="AC150" i="33"/>
  <c r="Z178" i="33"/>
  <c r="Y150" i="33"/>
  <c r="Y137" i="33" s="1"/>
  <c r="Y19" i="24" s="1"/>
  <c r="T150" i="33"/>
  <c r="T137" i="33" s="1"/>
  <c r="T19" i="24" s="1"/>
  <c r="L93" i="33"/>
  <c r="L14" i="24" s="1"/>
  <c r="L120" i="33"/>
  <c r="R267" i="33"/>
  <c r="R32" i="24" s="1"/>
  <c r="Y280" i="33"/>
  <c r="S280" i="33"/>
  <c r="S267" i="33" s="1"/>
  <c r="S32" i="24" s="1"/>
  <c r="AB280" i="33"/>
  <c r="AB267" i="33" s="1"/>
  <c r="AB32" i="24" s="1"/>
  <c r="AC280" i="33"/>
  <c r="AC267" i="33" s="1"/>
  <c r="AC32" i="24" s="1"/>
  <c r="L253" i="33"/>
  <c r="L31" i="24" s="1"/>
  <c r="AD31" i="24" s="1"/>
  <c r="L280" i="33"/>
  <c r="L267" i="33" s="1"/>
  <c r="L32" i="24" s="1"/>
  <c r="R8" i="24"/>
  <c r="AD35" i="33"/>
  <c r="AE35" i="33" s="1"/>
  <c r="T296" i="33"/>
  <c r="T283" i="33" s="1"/>
  <c r="T35" i="24" s="1"/>
  <c r="AC296" i="33"/>
  <c r="AC283" i="33" s="1"/>
  <c r="AC35" i="24" s="1"/>
  <c r="R283" i="33"/>
  <c r="S296" i="33"/>
  <c r="S283" i="33" s="1"/>
  <c r="S35" i="24" s="1"/>
  <c r="Z296" i="33"/>
  <c r="Z283" i="33" s="1"/>
  <c r="Z35" i="24" s="1"/>
  <c r="Y296" i="33"/>
  <c r="Y283" i="33" s="1"/>
  <c r="Y35" i="24" s="1"/>
  <c r="M120" i="33"/>
  <c r="M107" i="33" s="1"/>
  <c r="M15" i="24" s="1"/>
  <c r="T36" i="23"/>
  <c r="M192" i="33"/>
  <c r="M179" i="33" s="1"/>
  <c r="M22" i="24" s="1"/>
  <c r="R4" i="23"/>
  <c r="AA41" i="23"/>
  <c r="Z42" i="23"/>
  <c r="Z22" i="23"/>
  <c r="Z19" i="23" s="1"/>
  <c r="AA21" i="23"/>
  <c r="AJ59" i="23"/>
  <c r="Z58" i="23" s="1"/>
  <c r="AJ56" i="23"/>
  <c r="AA11" i="23"/>
  <c r="AA21" i="33" s="1"/>
  <c r="AA7" i="24" s="1"/>
  <c r="AC10" i="23"/>
  <c r="AC11" i="23" s="1"/>
  <c r="AC21" i="33" s="1"/>
  <c r="AC7" i="24" s="1"/>
  <c r="AB10" i="23"/>
  <c r="AB11" i="23" s="1"/>
  <c r="AB21" i="33" s="1"/>
  <c r="AB7" i="24" s="1"/>
  <c r="AI4" i="23"/>
  <c r="AI81" i="23" s="1"/>
  <c r="AA44" i="23"/>
  <c r="Z45" i="23"/>
  <c r="W45" i="23"/>
  <c r="W165" i="33" s="1"/>
  <c r="W21" i="24" s="1"/>
  <c r="Y44" i="23"/>
  <c r="Y45" i="23" s="1"/>
  <c r="U19" i="23"/>
  <c r="Y41" i="23"/>
  <c r="Y42" i="23" s="1"/>
  <c r="Y36" i="23" s="1"/>
  <c r="W42" i="23"/>
  <c r="W151" i="33" s="1"/>
  <c r="W20" i="24" s="1"/>
  <c r="Z48" i="23"/>
  <c r="AA47" i="23"/>
  <c r="AA7" i="23"/>
  <c r="Z8" i="23"/>
  <c r="Z6" i="33" s="1"/>
  <c r="Z6" i="24" s="1"/>
  <c r="AB24" i="23"/>
  <c r="AB25" i="23" s="1"/>
  <c r="AA25" i="23"/>
  <c r="AC24" i="23"/>
  <c r="AC25" i="23" s="1"/>
  <c r="S42" i="23"/>
  <c r="U41" i="23"/>
  <c r="U42" i="23" s="1"/>
  <c r="U151" i="33" s="1"/>
  <c r="U20" i="24" s="1"/>
  <c r="W70" i="23"/>
  <c r="W267" i="33" s="1"/>
  <c r="W32" i="24" s="1"/>
  <c r="Y69" i="23"/>
  <c r="Y70" i="23" s="1"/>
  <c r="Y61" i="23" s="1"/>
  <c r="Z51" i="23"/>
  <c r="AA50" i="23"/>
  <c r="U44" i="23"/>
  <c r="U45" i="23" s="1"/>
  <c r="U165" i="33" s="1"/>
  <c r="U21" i="24" s="1"/>
  <c r="S45" i="23"/>
  <c r="S36" i="23"/>
  <c r="Z38" i="23"/>
  <c r="H137" i="3" l="1"/>
  <c r="AH239" i="33"/>
  <c r="AG30" i="24" s="1"/>
  <c r="AD8" i="24"/>
  <c r="AG239" i="33"/>
  <c r="AF30" i="24" s="1"/>
  <c r="AI239" i="33"/>
  <c r="AH30" i="24" s="1"/>
  <c r="U5" i="23"/>
  <c r="U36" i="23"/>
  <c r="S7" i="24"/>
  <c r="AD7" i="24" s="1"/>
  <c r="AD21" i="33"/>
  <c r="T4" i="23"/>
  <c r="Y267" i="33"/>
  <c r="Y32" i="24" s="1"/>
  <c r="AD32" i="24" s="1"/>
  <c r="AD29" i="24" s="1"/>
  <c r="S5" i="23"/>
  <c r="AA17" i="23"/>
  <c r="AC16" i="23"/>
  <c r="AC17" i="23" s="1"/>
  <c r="AC49" i="33" s="1"/>
  <c r="AC9" i="24" s="1"/>
  <c r="AB16" i="23"/>
  <c r="AB17" i="23" s="1"/>
  <c r="AB49" i="33" s="1"/>
  <c r="AB9" i="24" s="1"/>
  <c r="D18" i="35"/>
  <c r="Z9" i="24"/>
  <c r="G8" i="3"/>
  <c r="G139" i="3" s="1"/>
  <c r="D139" i="3" s="1"/>
  <c r="Y6" i="33"/>
  <c r="Y6" i="24" s="1"/>
  <c r="Y5" i="23"/>
  <c r="Y4" i="23" s="1"/>
  <c r="AD25" i="23"/>
  <c r="B10" i="35" s="1"/>
  <c r="AB79" i="33"/>
  <c r="AB13" i="24" s="1"/>
  <c r="Z165" i="33"/>
  <c r="Z21" i="24" s="1"/>
  <c r="W5" i="23"/>
  <c r="H57" i="3"/>
  <c r="I56" i="3"/>
  <c r="L107" i="33"/>
  <c r="L15" i="24" s="1"/>
  <c r="L134" i="33"/>
  <c r="L121" i="33" s="1"/>
  <c r="L16" i="24" s="1"/>
  <c r="AD253" i="33"/>
  <c r="AE253" i="33" s="1"/>
  <c r="AH35" i="33"/>
  <c r="AG8" i="24" s="1"/>
  <c r="AG35" i="33"/>
  <c r="AF8" i="24" s="1"/>
  <c r="AF35" i="33"/>
  <c r="AE8" i="24" s="1"/>
  <c r="AI35" i="33"/>
  <c r="AH8" i="24" s="1"/>
  <c r="Y192" i="33"/>
  <c r="Y179" i="33" s="1"/>
  <c r="Y22" i="24" s="1"/>
  <c r="AC192" i="33"/>
  <c r="R179" i="33"/>
  <c r="R22" i="24" s="1"/>
  <c r="Z192" i="33"/>
  <c r="Z179" i="33" s="1"/>
  <c r="Z22" i="24" s="1"/>
  <c r="T192" i="33"/>
  <c r="T179" i="33" s="1"/>
  <c r="T22" i="24" s="1"/>
  <c r="S192" i="33"/>
  <c r="S179" i="33" s="1"/>
  <c r="S22" i="24" s="1"/>
  <c r="R206" i="33"/>
  <c r="S164" i="33"/>
  <c r="S151" i="33" s="1"/>
  <c r="S20" i="24" s="1"/>
  <c r="R151" i="33"/>
  <c r="R20" i="24" s="1"/>
  <c r="R178" i="33"/>
  <c r="L222" i="33"/>
  <c r="L209" i="33" s="1"/>
  <c r="Y164" i="33"/>
  <c r="Y151" i="33" s="1"/>
  <c r="Y20" i="24" s="1"/>
  <c r="Z164" i="33"/>
  <c r="Z151" i="33" s="1"/>
  <c r="Z20" i="24" s="1"/>
  <c r="T164" i="33"/>
  <c r="T151" i="33" s="1"/>
  <c r="T20" i="24" s="1"/>
  <c r="AC164" i="33"/>
  <c r="R35" i="24"/>
  <c r="AD35" i="24" s="1"/>
  <c r="AD34" i="24" s="1"/>
  <c r="AD283" i="33"/>
  <c r="AE30" i="24"/>
  <c r="M134" i="33"/>
  <c r="W36" i="23"/>
  <c r="U4" i="23"/>
  <c r="AD11" i="23"/>
  <c r="B15" i="35" s="1"/>
  <c r="M206" i="33"/>
  <c r="M193" i="33" s="1"/>
  <c r="M23" i="24" s="1"/>
  <c r="AC44" i="23"/>
  <c r="AC45" i="23" s="1"/>
  <c r="AB44" i="23"/>
  <c r="AB45" i="23" s="1"/>
  <c r="AA45" i="23"/>
  <c r="AA165" i="33" s="1"/>
  <c r="AA21" i="24" s="1"/>
  <c r="Z39" i="23"/>
  <c r="Z137" i="33" s="1"/>
  <c r="Z19" i="24" s="1"/>
  <c r="AA38" i="23"/>
  <c r="AA8" i="23"/>
  <c r="AC7" i="23"/>
  <c r="AC8" i="23" s="1"/>
  <c r="AB7" i="23"/>
  <c r="AB8" i="23" s="1"/>
  <c r="Z55" i="23"/>
  <c r="AJ53" i="23"/>
  <c r="AJ4" i="23" s="1"/>
  <c r="S4" i="23"/>
  <c r="AD70" i="23"/>
  <c r="B9" i="35" s="1"/>
  <c r="W61" i="23"/>
  <c r="AD61" i="23" s="1"/>
  <c r="AC47" i="23"/>
  <c r="AC48" i="23" s="1"/>
  <c r="AB47" i="23"/>
  <c r="AB48" i="23" s="1"/>
  <c r="AA48" i="23"/>
  <c r="AA179" i="33" s="1"/>
  <c r="AA22" i="24" s="1"/>
  <c r="Z5" i="23"/>
  <c r="Z59" i="23"/>
  <c r="AA58" i="23"/>
  <c r="AA22" i="23"/>
  <c r="AB21" i="23"/>
  <c r="AB22" i="23" s="1"/>
  <c r="AB19" i="23" s="1"/>
  <c r="AC21" i="23"/>
  <c r="AC22" i="23" s="1"/>
  <c r="AC19" i="23" s="1"/>
  <c r="AA42" i="23"/>
  <c r="AA151" i="33" s="1"/>
  <c r="AA20" i="24" s="1"/>
  <c r="AC41" i="23"/>
  <c r="AC42" i="23" s="1"/>
  <c r="AB41" i="23"/>
  <c r="AB42" i="23" s="1"/>
  <c r="AB151" i="33" s="1"/>
  <c r="AB20" i="24" s="1"/>
  <c r="AA51" i="23"/>
  <c r="AA193" i="33" s="1"/>
  <c r="AA23" i="24" s="1"/>
  <c r="AC50" i="23"/>
  <c r="AC51" i="23" s="1"/>
  <c r="AB50" i="23"/>
  <c r="AB51" i="23" s="1"/>
  <c r="AB193" i="33" s="1"/>
  <c r="AB23" i="24" s="1"/>
  <c r="I137" i="3" l="1"/>
  <c r="F137" i="3" s="1"/>
  <c r="E137" i="3"/>
  <c r="AD267" i="33"/>
  <c r="AE267" i="33" s="1"/>
  <c r="AF267" i="33" s="1"/>
  <c r="AE32" i="24" s="1"/>
  <c r="AC151" i="33"/>
  <c r="AC20" i="24" s="1"/>
  <c r="AD51" i="23"/>
  <c r="B14" i="35" s="1"/>
  <c r="AE21" i="33"/>
  <c r="AF21" i="33" s="1"/>
  <c r="AE7" i="24" s="1"/>
  <c r="AC179" i="33"/>
  <c r="AC22" i="24" s="1"/>
  <c r="D9" i="35"/>
  <c r="AB5" i="23"/>
  <c r="AB6" i="33"/>
  <c r="AB6" i="24" s="1"/>
  <c r="AA49" i="33"/>
  <c r="AD17" i="23"/>
  <c r="B17" i="35" s="1"/>
  <c r="D14" i="35"/>
  <c r="I57" i="3"/>
  <c r="H58" i="3"/>
  <c r="AD42" i="23"/>
  <c r="B6" i="35" s="1"/>
  <c r="AD48" i="23"/>
  <c r="B21" i="35" s="1"/>
  <c r="AB179" i="33"/>
  <c r="AB22" i="24" s="1"/>
  <c r="AC5" i="23"/>
  <c r="AC6" i="33"/>
  <c r="AC6" i="24" s="1"/>
  <c r="D15" i="35"/>
  <c r="G9" i="3"/>
  <c r="G140" i="3" s="1"/>
  <c r="D140" i="3" s="1"/>
  <c r="AA5" i="23"/>
  <c r="AA6" i="33"/>
  <c r="D10" i="35"/>
  <c r="AC206" i="33"/>
  <c r="AC193" i="33" s="1"/>
  <c r="AC23" i="24" s="1"/>
  <c r="T206" i="33"/>
  <c r="T193" i="33" s="1"/>
  <c r="T23" i="24" s="1"/>
  <c r="R193" i="33"/>
  <c r="R23" i="24" s="1"/>
  <c r="S206" i="33"/>
  <c r="S193" i="33" s="1"/>
  <c r="S23" i="24" s="1"/>
  <c r="Z206" i="33"/>
  <c r="Z193" i="33" s="1"/>
  <c r="Z23" i="24" s="1"/>
  <c r="Y206" i="33"/>
  <c r="Y193" i="33" s="1"/>
  <c r="Y23" i="24" s="1"/>
  <c r="AE283" i="33"/>
  <c r="AD282" i="33"/>
  <c r="L26" i="24"/>
  <c r="AI253" i="33"/>
  <c r="AH31" i="24" s="1"/>
  <c r="AG253" i="33"/>
  <c r="AF31" i="24" s="1"/>
  <c r="AF253" i="33"/>
  <c r="AE31" i="24" s="1"/>
  <c r="AH253" i="33"/>
  <c r="AG31" i="24" s="1"/>
  <c r="M121" i="33"/>
  <c r="M16" i="24" s="1"/>
  <c r="AB178" i="33"/>
  <c r="AB165" i="33" s="1"/>
  <c r="AB21" i="24" s="1"/>
  <c r="R165" i="33"/>
  <c r="R21" i="24" s="1"/>
  <c r="AC178" i="33"/>
  <c r="AC165" i="33" s="1"/>
  <c r="AC21" i="24" s="1"/>
  <c r="Y178" i="33"/>
  <c r="Y165" i="33" s="1"/>
  <c r="Y21" i="24" s="1"/>
  <c r="S178" i="33"/>
  <c r="S165" i="33" s="1"/>
  <c r="S21" i="24" s="1"/>
  <c r="AD238" i="33"/>
  <c r="AD8" i="23"/>
  <c r="B16" i="35" s="1"/>
  <c r="Z36" i="23"/>
  <c r="AD45" i="23"/>
  <c r="B4" i="35" s="1"/>
  <c r="W4" i="23"/>
  <c r="Z56" i="23"/>
  <c r="AA55" i="23"/>
  <c r="AD5" i="23"/>
  <c r="AA59" i="23"/>
  <c r="AA223" i="33" s="1"/>
  <c r="AA27" i="24" s="1"/>
  <c r="AC58" i="23"/>
  <c r="AC59" i="23" s="1"/>
  <c r="AB58" i="23"/>
  <c r="AB59" i="23" s="1"/>
  <c r="AB223" i="33" s="1"/>
  <c r="AB27" i="24" s="1"/>
  <c r="AA39" i="23"/>
  <c r="AC38" i="23"/>
  <c r="AC39" i="23" s="1"/>
  <c r="AB38" i="23"/>
  <c r="AB39" i="23" s="1"/>
  <c r="AA19" i="23"/>
  <c r="AD19" i="23" s="1"/>
  <c r="AD22" i="23"/>
  <c r="B13" i="35" s="1"/>
  <c r="AH267" i="33" l="1"/>
  <c r="AG32" i="24" s="1"/>
  <c r="AH21" i="33"/>
  <c r="AG7" i="24" s="1"/>
  <c r="AG21" i="33"/>
  <c r="AF7" i="24" s="1"/>
  <c r="AI21" i="33"/>
  <c r="AH7" i="24" s="1"/>
  <c r="D6" i="35"/>
  <c r="D16" i="35"/>
  <c r="AG267" i="33"/>
  <c r="AF32" i="24" s="1"/>
  <c r="AI267" i="33"/>
  <c r="AH32" i="24" s="1"/>
  <c r="G10" i="3"/>
  <c r="G141" i="3" s="1"/>
  <c r="D141" i="3" s="1"/>
  <c r="D13" i="35"/>
  <c r="H59" i="3"/>
  <c r="I58" i="3"/>
  <c r="AD59" i="23"/>
  <c r="B12" i="35" s="1"/>
  <c r="AB36" i="23"/>
  <c r="AD36" i="23" s="1"/>
  <c r="AB137" i="33"/>
  <c r="AB19" i="24" s="1"/>
  <c r="AC36" i="23"/>
  <c r="AC137" i="33"/>
  <c r="AC19" i="24" s="1"/>
  <c r="AA36" i="23"/>
  <c r="AA137" i="33"/>
  <c r="AA19" i="24" s="1"/>
  <c r="AA6" i="24"/>
  <c r="AD6" i="24" s="1"/>
  <c r="AD6" i="33"/>
  <c r="D17" i="35"/>
  <c r="D4" i="35"/>
  <c r="D21" i="35"/>
  <c r="AA9" i="24"/>
  <c r="AD9" i="24" s="1"/>
  <c r="AD49" i="33"/>
  <c r="AE49" i="33" s="1"/>
  <c r="AE238" i="33"/>
  <c r="AH281" i="33" s="1"/>
  <c r="AG33" i="24" s="1"/>
  <c r="AG29" i="24" s="1"/>
  <c r="AF283" i="33"/>
  <c r="AI283" i="33"/>
  <c r="AG283" i="33"/>
  <c r="AH283" i="33"/>
  <c r="AA56" i="23"/>
  <c r="AC55" i="23"/>
  <c r="AC56" i="23" s="1"/>
  <c r="AC53" i="23" s="1"/>
  <c r="AB55" i="23"/>
  <c r="AB56" i="23" s="1"/>
  <c r="AD39" i="23"/>
  <c r="B11" i="35" s="1"/>
  <c r="Z53" i="23"/>
  <c r="Z4" i="23" s="1"/>
  <c r="AG281" i="33" l="1"/>
  <c r="AF33" i="24" s="1"/>
  <c r="AF29" i="24" s="1"/>
  <c r="AI281" i="33"/>
  <c r="AH33" i="24" s="1"/>
  <c r="AH29" i="24" s="1"/>
  <c r="G11" i="3"/>
  <c r="G142" i="3" s="1"/>
  <c r="D142" i="3" s="1"/>
  <c r="AB53" i="23"/>
  <c r="AB4" i="23" s="1"/>
  <c r="AB209" i="33"/>
  <c r="AB26" i="24" s="1"/>
  <c r="D11" i="35"/>
  <c r="B25" i="35"/>
  <c r="AE6" i="33"/>
  <c r="AD5" i="33"/>
  <c r="AA53" i="23"/>
  <c r="AA4" i="23" s="1"/>
  <c r="AA209" i="33"/>
  <c r="AA26" i="24" s="1"/>
  <c r="AF281" i="33"/>
  <c r="AE33" i="24" s="1"/>
  <c r="AE29" i="24" s="1"/>
  <c r="Q29" i="24" s="1"/>
  <c r="AF49" i="33"/>
  <c r="AE9" i="24" s="1"/>
  <c r="AG49" i="33"/>
  <c r="AF9" i="24" s="1"/>
  <c r="AI49" i="33"/>
  <c r="AH9" i="24" s="1"/>
  <c r="AH49" i="33"/>
  <c r="AG9" i="24" s="1"/>
  <c r="D12" i="35"/>
  <c r="AD5" i="24"/>
  <c r="H60" i="3"/>
  <c r="I59" i="3"/>
  <c r="AF35" i="24"/>
  <c r="AF34" i="24" s="1"/>
  <c r="AG282" i="33"/>
  <c r="AE282" i="33"/>
  <c r="AE35" i="24"/>
  <c r="AF282" i="33"/>
  <c r="AG35" i="24"/>
  <c r="AH282" i="33"/>
  <c r="AH35" i="24"/>
  <c r="AI282" i="33"/>
  <c r="R29" i="24"/>
  <c r="AG238" i="33"/>
  <c r="AH238" i="33"/>
  <c r="AI238" i="33"/>
  <c r="AD53" i="23"/>
  <c r="AC4" i="23"/>
  <c r="AD4" i="23" s="1"/>
  <c r="AD56" i="23"/>
  <c r="B7" i="35" s="1"/>
  <c r="V29" i="24" l="1"/>
  <c r="E29" i="24"/>
  <c r="L29" i="24"/>
  <c r="P29" i="24"/>
  <c r="Z29" i="24"/>
  <c r="D29" i="24"/>
  <c r="X29" i="24"/>
  <c r="AF238" i="33"/>
  <c r="W238" i="33" s="1"/>
  <c r="AB29" i="24"/>
  <c r="AI6" i="33"/>
  <c r="AF6" i="33"/>
  <c r="AH6" i="33"/>
  <c r="AG6" i="33"/>
  <c r="T29" i="24"/>
  <c r="U29" i="24"/>
  <c r="H61" i="3"/>
  <c r="I60" i="3"/>
  <c r="S29" i="24"/>
  <c r="W29" i="24"/>
  <c r="D7" i="35"/>
  <c r="D22" i="35" s="1"/>
  <c r="B24" i="35" s="1"/>
  <c r="F7" i="35"/>
  <c r="M29" i="24"/>
  <c r="Y29" i="24"/>
  <c r="AA29" i="24"/>
  <c r="AC29" i="24"/>
  <c r="G29" i="24"/>
  <c r="F29" i="24"/>
  <c r="G12" i="3"/>
  <c r="G143" i="3" s="1"/>
  <c r="D143" i="3" s="1"/>
  <c r="AE34" i="24"/>
  <c r="AG297" i="33"/>
  <c r="AF36" i="24" s="1"/>
  <c r="AI297" i="33"/>
  <c r="AH36" i="24" s="1"/>
  <c r="AF297" i="33"/>
  <c r="AB282" i="33" s="1"/>
  <c r="AH297" i="33"/>
  <c r="AG36" i="24" s="1"/>
  <c r="E238" i="33" l="1"/>
  <c r="AA238" i="33"/>
  <c r="P238" i="33"/>
  <c r="Z238" i="33"/>
  <c r="Q238" i="33"/>
  <c r="S282" i="33"/>
  <c r="T238" i="33"/>
  <c r="Y238" i="33"/>
  <c r="U238" i="33"/>
  <c r="V238" i="33"/>
  <c r="M238" i="33"/>
  <c r="L238" i="33"/>
  <c r="X238" i="33"/>
  <c r="R238" i="33"/>
  <c r="D238" i="33"/>
  <c r="AC238" i="33"/>
  <c r="S238" i="33"/>
  <c r="G238" i="33"/>
  <c r="F238" i="33"/>
  <c r="AB238" i="33"/>
  <c r="H62" i="3"/>
  <c r="I61" i="3"/>
  <c r="G13" i="3"/>
  <c r="G144" i="3" s="1"/>
  <c r="D144" i="3" s="1"/>
  <c r="F19" i="35"/>
  <c r="F20" i="35"/>
  <c r="F2" i="35"/>
  <c r="F3" i="35"/>
  <c r="F5" i="35"/>
  <c r="F8" i="35"/>
  <c r="F18" i="35"/>
  <c r="F9" i="35"/>
  <c r="F14" i="35"/>
  <c r="F10" i="35"/>
  <c r="F15" i="35"/>
  <c r="F4" i="35"/>
  <c r="F21" i="35"/>
  <c r="F16" i="35"/>
  <c r="F6" i="35"/>
  <c r="F13" i="35"/>
  <c r="F17" i="35"/>
  <c r="F12" i="35"/>
  <c r="F11" i="35"/>
  <c r="AG6" i="24"/>
  <c r="AF6" i="24"/>
  <c r="T282" i="33"/>
  <c r="AE6" i="24"/>
  <c r="AE5" i="33"/>
  <c r="M282" i="33"/>
  <c r="AH6" i="24"/>
  <c r="U282" i="33"/>
  <c r="X282" i="33"/>
  <c r="Y282" i="33"/>
  <c r="V282" i="33"/>
  <c r="R282" i="33"/>
  <c r="P282" i="33"/>
  <c r="D282" i="33"/>
  <c r="AA282" i="33"/>
  <c r="F282" i="33"/>
  <c r="AE36" i="24"/>
  <c r="W282" i="33"/>
  <c r="Q282" i="33"/>
  <c r="E282" i="33"/>
  <c r="AC282" i="33"/>
  <c r="Z282" i="33"/>
  <c r="G282" i="33"/>
  <c r="F22" i="35" l="1"/>
  <c r="B26" i="35" s="1"/>
  <c r="B27" i="35" s="1"/>
  <c r="G14" i="3"/>
  <c r="G145" i="3" s="1"/>
  <c r="D145" i="3" s="1"/>
  <c r="AI63" i="33"/>
  <c r="AG63" i="33"/>
  <c r="AF63" i="33"/>
  <c r="AH63" i="33"/>
  <c r="H63" i="3"/>
  <c r="I62" i="3"/>
  <c r="E34" i="24"/>
  <c r="Y34" i="24"/>
  <c r="AC34" i="24"/>
  <c r="AA34" i="24"/>
  <c r="R34" i="24"/>
  <c r="Q34" i="24"/>
  <c r="AB34" i="24"/>
  <c r="F34" i="24"/>
  <c r="X34" i="24"/>
  <c r="M34" i="24"/>
  <c r="V34" i="24"/>
  <c r="W34" i="24"/>
  <c r="D34" i="24"/>
  <c r="T34" i="24"/>
  <c r="U34" i="24"/>
  <c r="P34" i="24"/>
  <c r="S34" i="24"/>
  <c r="G34" i="24"/>
  <c r="Z34" i="24"/>
  <c r="AG10" i="24" l="1"/>
  <c r="AG5" i="24" s="1"/>
  <c r="AG4" i="24" s="1"/>
  <c r="AH5" i="33"/>
  <c r="AF10" i="24"/>
  <c r="AF5" i="24" s="1"/>
  <c r="AG5" i="33"/>
  <c r="H64" i="3"/>
  <c r="I63" i="3"/>
  <c r="AE10" i="24"/>
  <c r="AE5" i="24" s="1"/>
  <c r="AF5" i="33"/>
  <c r="G15" i="3"/>
  <c r="AH10" i="24"/>
  <c r="AH5" i="24" s="1"/>
  <c r="AH4" i="24" s="1"/>
  <c r="AI5" i="33"/>
  <c r="A15" i="26"/>
  <c r="A6" i="26"/>
  <c r="Q14" i="4" l="1"/>
  <c r="G146" i="3"/>
  <c r="D146" i="3" s="1"/>
  <c r="G5" i="24"/>
  <c r="N5" i="24"/>
  <c r="AB5" i="24"/>
  <c r="R5" i="24"/>
  <c r="S5" i="24"/>
  <c r="X5" i="24"/>
  <c r="E5" i="24"/>
  <c r="D5" i="24"/>
  <c r="V5" i="24"/>
  <c r="W5" i="24"/>
  <c r="AC5" i="24"/>
  <c r="P5" i="24"/>
  <c r="U5" i="24"/>
  <c r="Q5" i="24"/>
  <c r="F5" i="24"/>
  <c r="Z5" i="24"/>
  <c r="Y5" i="24"/>
  <c r="AA5" i="24"/>
  <c r="T5" i="24"/>
  <c r="Z5" i="33"/>
  <c r="AC5" i="33"/>
  <c r="R5" i="33"/>
  <c r="T5" i="33"/>
  <c r="P5" i="33"/>
  <c r="N5" i="33"/>
  <c r="W5" i="33"/>
  <c r="AB5" i="33"/>
  <c r="X5" i="33"/>
  <c r="G5" i="33"/>
  <c r="F5" i="33"/>
  <c r="AA5" i="33"/>
  <c r="D5" i="33"/>
  <c r="V5" i="33"/>
  <c r="U5" i="33"/>
  <c r="E5" i="33"/>
  <c r="Y5" i="33"/>
  <c r="S5" i="33"/>
  <c r="Q5" i="33"/>
  <c r="H65" i="3"/>
  <c r="I65" i="3" s="1"/>
  <c r="I64" i="3"/>
  <c r="AH310" i="33" l="1"/>
  <c r="AG310" i="33" l="1"/>
  <c r="G82" i="9" l="1"/>
  <c r="G83" i="9" s="1"/>
  <c r="G84" i="9" s="1"/>
  <c r="G85" i="9" s="1"/>
  <c r="G86" i="9" s="1"/>
  <c r="G87" i="9" s="1"/>
  <c r="G88" i="9" s="1"/>
  <c r="H179" i="9"/>
  <c r="I179" i="9"/>
  <c r="J179" i="9"/>
  <c r="K179" i="9"/>
  <c r="K82" i="9" s="1"/>
  <c r="K83" i="9" s="1"/>
  <c r="K84" i="9" s="1"/>
  <c r="K85" i="9" s="1"/>
  <c r="K86" i="9" s="1"/>
  <c r="K87" i="9" s="1"/>
  <c r="K88" i="9" s="1"/>
  <c r="I88" i="10"/>
  <c r="H88" i="10"/>
  <c r="G88" i="10"/>
  <c r="G4" i="10" s="1"/>
  <c r="I4" i="10"/>
  <c r="H4" i="10"/>
  <c r="F4" i="10"/>
  <c r="F107" i="14" l="1"/>
  <c r="F72" i="14"/>
  <c r="F37" i="14"/>
  <c r="F302" i="33" l="1"/>
  <c r="C7" i="34"/>
  <c r="C8" i="34" s="1"/>
  <c r="C4" i="34"/>
  <c r="F303" i="33" l="1"/>
  <c r="E37" i="17" l="1"/>
  <c r="E38" i="17" s="1"/>
  <c r="E39" i="17" s="1"/>
  <c r="E40" i="17" s="1"/>
  <c r="E41" i="17" s="1"/>
  <c r="E42" i="17" s="1"/>
  <c r="E43" i="17" s="1"/>
  <c r="E44" i="17" s="1"/>
  <c r="E45" i="17" s="1"/>
  <c r="AO17" i="19" l="1"/>
  <c r="AV15" i="19"/>
  <c r="AV14" i="19"/>
  <c r="AV13" i="19"/>
  <c r="AV12" i="19"/>
  <c r="AV11" i="19"/>
  <c r="AV9" i="19"/>
  <c r="AV8" i="19"/>
  <c r="AV7" i="19"/>
  <c r="AV6" i="19"/>
  <c r="AV5" i="19"/>
  <c r="AO15" i="19"/>
  <c r="AO14" i="19"/>
  <c r="AO13" i="19"/>
  <c r="AO12" i="19"/>
  <c r="AO11" i="19"/>
  <c r="AO9" i="19"/>
  <c r="AO8" i="19"/>
  <c r="AO7" i="19"/>
  <c r="AO6" i="19"/>
  <c r="AO5" i="19"/>
  <c r="AC5" i="19"/>
  <c r="AC6" i="19"/>
  <c r="AC7" i="19"/>
  <c r="AC8" i="19"/>
  <c r="AC9" i="19"/>
  <c r="AC11" i="19"/>
  <c r="AC12" i="19"/>
  <c r="AC13" i="19"/>
  <c r="AC14" i="19"/>
  <c r="AC15" i="19"/>
  <c r="E30" i="27"/>
  <c r="AV17" i="19" l="1"/>
  <c r="K4" i="9" l="1"/>
  <c r="K57" i="9"/>
  <c r="K78" i="9"/>
  <c r="K150" i="9"/>
  <c r="K175" i="9" s="1"/>
  <c r="K56" i="9" l="1"/>
  <c r="K173" i="9" s="1"/>
  <c r="AS17" i="19" l="1"/>
  <c r="AT17" i="19" s="1"/>
  <c r="AX17" i="19" s="1"/>
  <c r="AX20" i="19" s="1"/>
  <c r="AL17" i="19"/>
  <c r="AM17" i="19" s="1"/>
  <c r="AQ17" i="19" s="1"/>
  <c r="AD17" i="19"/>
  <c r="AC17" i="19"/>
  <c r="AI17" i="19" s="1"/>
  <c r="C17" i="19"/>
  <c r="C16" i="19"/>
  <c r="AS15" i="19"/>
  <c r="AT15" i="19" s="1"/>
  <c r="AS14" i="19"/>
  <c r="AT14" i="19" s="1"/>
  <c r="AS13" i="19"/>
  <c r="AT13" i="19" s="1"/>
  <c r="AS12" i="19"/>
  <c r="AW12" i="19" s="1"/>
  <c r="AS11" i="19"/>
  <c r="AT11" i="19" s="1"/>
  <c r="AX11" i="19" s="1"/>
  <c r="AS9" i="19"/>
  <c r="AT9" i="19" s="1"/>
  <c r="AX9" i="19" s="1"/>
  <c r="AS8" i="19"/>
  <c r="AT8" i="19" s="1"/>
  <c r="AX8" i="19" s="1"/>
  <c r="AS7" i="19"/>
  <c r="AT7" i="19" s="1"/>
  <c r="AX7" i="19" s="1"/>
  <c r="AS6" i="19"/>
  <c r="AT6" i="19" s="1"/>
  <c r="AX6" i="19" s="1"/>
  <c r="AS5" i="19"/>
  <c r="AT5" i="19" s="1"/>
  <c r="AX5" i="19" s="1"/>
  <c r="G27" i="9" s="1"/>
  <c r="AL15" i="19"/>
  <c r="AP15" i="19" s="1"/>
  <c r="AL14" i="19"/>
  <c r="AM14" i="19" s="1"/>
  <c r="AL13" i="19"/>
  <c r="AP13" i="19" s="1"/>
  <c r="AL12" i="19"/>
  <c r="AP12" i="19" s="1"/>
  <c r="AL11" i="19"/>
  <c r="AP11" i="19" s="1"/>
  <c r="AL9" i="19"/>
  <c r="AM9" i="19" s="1"/>
  <c r="AL8" i="19"/>
  <c r="AM8" i="19" s="1"/>
  <c r="AQ8" i="19" s="1"/>
  <c r="AL7" i="19"/>
  <c r="AM7" i="19" s="1"/>
  <c r="AQ7" i="19" s="1"/>
  <c r="AL6" i="19"/>
  <c r="AP6" i="19" s="1"/>
  <c r="AL5" i="19"/>
  <c r="AP5" i="19" s="1"/>
  <c r="F1" i="10"/>
  <c r="AQ20" i="19" l="1"/>
  <c r="AW14" i="19"/>
  <c r="AQ9" i="19"/>
  <c r="AX13" i="19"/>
  <c r="AX14" i="19"/>
  <c r="AX15" i="19"/>
  <c r="AQ14" i="19"/>
  <c r="AW11" i="19"/>
  <c r="AP7" i="19"/>
  <c r="AW13" i="19"/>
  <c r="AW15" i="19"/>
  <c r="AM11" i="19"/>
  <c r="AQ11" i="19" s="1"/>
  <c r="AJ17" i="19"/>
  <c r="AJ20" i="19" s="1"/>
  <c r="AW17" i="19"/>
  <c r="AM6" i="19"/>
  <c r="AQ6" i="19" s="1"/>
  <c r="AP17" i="19"/>
  <c r="AP9" i="19"/>
  <c r="AP14" i="19"/>
  <c r="AM12" i="19"/>
  <c r="AQ12" i="19" s="1"/>
  <c r="AW5" i="19"/>
  <c r="AM5" i="19"/>
  <c r="AQ5" i="19" s="1"/>
  <c r="AM15" i="19"/>
  <c r="AQ15" i="19" s="1"/>
  <c r="AP8" i="19"/>
  <c r="AM13" i="19"/>
  <c r="AQ13" i="19" s="1"/>
  <c r="AT12" i="19"/>
  <c r="AX12" i="19" s="1"/>
  <c r="AW6" i="19"/>
  <c r="AW7" i="19"/>
  <c r="AW8" i="19"/>
  <c r="AW9" i="19"/>
  <c r="G1" i="9"/>
  <c r="G1" i="3" s="1"/>
  <c r="Q2" i="20"/>
  <c r="R2" i="20"/>
  <c r="S2" i="20"/>
  <c r="P2" i="20"/>
  <c r="K27" i="9" l="1"/>
  <c r="K26" i="9"/>
  <c r="G26" i="9"/>
  <c r="AW18" i="19"/>
  <c r="AP18" i="19"/>
  <c r="AQ18" i="19"/>
  <c r="AQ21" i="19" s="1"/>
  <c r="AX18" i="19"/>
  <c r="AX21" i="19" s="1"/>
  <c r="K25" i="9" l="1"/>
  <c r="K3" i="9" s="1"/>
  <c r="K172" i="9" s="1"/>
  <c r="E128" i="14" l="1"/>
  <c r="D128" i="14"/>
  <c r="E127" i="14"/>
  <c r="D127" i="14" s="1"/>
  <c r="E126" i="14"/>
  <c r="D126" i="14"/>
  <c r="E125" i="14"/>
  <c r="D125" i="14" s="1"/>
  <c r="E124" i="14"/>
  <c r="D124" i="14"/>
  <c r="E123" i="14"/>
  <c r="D123" i="14" s="1"/>
  <c r="E122" i="14"/>
  <c r="D122" i="14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93" i="14"/>
  <c r="D93" i="14"/>
  <c r="E92" i="14"/>
  <c r="D92" i="14" s="1"/>
  <c r="E91" i="14"/>
  <c r="D91" i="14"/>
  <c r="E90" i="14"/>
  <c r="D90" i="14" s="1"/>
  <c r="E89" i="14"/>
  <c r="D89" i="14"/>
  <c r="E88" i="14"/>
  <c r="D88" i="14" s="1"/>
  <c r="E87" i="14"/>
  <c r="D87" i="14"/>
  <c r="E86" i="14"/>
  <c r="D86" i="14" s="1"/>
  <c r="E85" i="14"/>
  <c r="D85" i="14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58" i="14"/>
  <c r="D58" i="14"/>
  <c r="E57" i="14"/>
  <c r="D57" i="14" s="1"/>
  <c r="E56" i="14"/>
  <c r="D56" i="14"/>
  <c r="E55" i="14"/>
  <c r="D55" i="14" s="1"/>
  <c r="E54" i="14"/>
  <c r="D54" i="14"/>
  <c r="E53" i="14"/>
  <c r="D53" i="14" s="1"/>
  <c r="E52" i="14"/>
  <c r="D52" i="14"/>
  <c r="E51" i="14"/>
  <c r="D51" i="14" s="1"/>
  <c r="E50" i="14"/>
  <c r="D50" i="14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23" i="14"/>
  <c r="E22" i="14"/>
  <c r="E21" i="14"/>
  <c r="E20" i="14"/>
  <c r="E19" i="14"/>
  <c r="E18" i="14"/>
  <c r="E17" i="14"/>
  <c r="E16" i="14"/>
  <c r="E15" i="14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O21" i="26"/>
  <c r="AN21" i="26"/>
  <c r="AM21" i="26"/>
  <c r="AF21" i="26"/>
  <c r="AE21" i="26"/>
  <c r="AD21" i="26"/>
  <c r="AC21" i="26"/>
  <c r="AP20" i="26"/>
  <c r="AH20" i="26"/>
  <c r="AG20" i="26"/>
  <c r="AP6" i="26"/>
  <c r="AH6" i="26"/>
  <c r="AG6" i="26"/>
  <c r="AD15" i="19"/>
  <c r="AI15" i="19"/>
  <c r="AD14" i="19"/>
  <c r="AI14" i="19"/>
  <c r="AD13" i="19"/>
  <c r="AI13" i="19"/>
  <c r="AD12" i="19"/>
  <c r="AI12" i="19"/>
  <c r="AD11" i="19"/>
  <c r="AI11" i="19"/>
  <c r="AD9" i="19"/>
  <c r="AI9" i="19"/>
  <c r="AD8" i="19"/>
  <c r="AJ8" i="19" s="1"/>
  <c r="AI8" i="19"/>
  <c r="AD7" i="19"/>
  <c r="AJ7" i="19" s="1"/>
  <c r="AI7" i="19"/>
  <c r="AD6" i="19"/>
  <c r="AJ6" i="19" s="1"/>
  <c r="AI6" i="19"/>
  <c r="AD5" i="19"/>
  <c r="AJ5" i="19" s="1"/>
  <c r="AI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M13" i="11" s="1"/>
  <c r="E53" i="10"/>
  <c r="L13" i="11" s="1"/>
  <c r="E52" i="10"/>
  <c r="E51" i="10"/>
  <c r="E50" i="10"/>
  <c r="E49" i="10"/>
  <c r="E48" i="10"/>
  <c r="E47" i="10"/>
  <c r="E46" i="10"/>
  <c r="E13" i="11" s="1"/>
  <c r="E45" i="10"/>
  <c r="D13" i="11" s="1"/>
  <c r="E44" i="10"/>
  <c r="E43" i="10"/>
  <c r="E42" i="10"/>
  <c r="E41" i="10"/>
  <c r="E40" i="10"/>
  <c r="E39" i="10"/>
  <c r="E38" i="10"/>
  <c r="E37" i="10"/>
  <c r="F13" i="11" s="1"/>
  <c r="F42" i="11" s="1"/>
  <c r="E36" i="10"/>
  <c r="E35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G12" i="11" s="1"/>
  <c r="G41" i="11" s="1"/>
  <c r="E16" i="10"/>
  <c r="E15" i="10"/>
  <c r="E14" i="10"/>
  <c r="E13" i="10"/>
  <c r="E12" i="10"/>
  <c r="E11" i="10"/>
  <c r="E10" i="10"/>
  <c r="J12" i="11" s="1"/>
  <c r="J41" i="11" s="1"/>
  <c r="E9" i="10"/>
  <c r="I12" i="11" s="1"/>
  <c r="I41" i="11" s="1"/>
  <c r="E8" i="10"/>
  <c r="H12" i="11" s="1"/>
  <c r="H41" i="11" s="1"/>
  <c r="E7" i="10"/>
  <c r="E6" i="10"/>
  <c r="E5" i="10"/>
  <c r="E4" i="10"/>
  <c r="I3" i="10"/>
  <c r="S8" i="20" s="1"/>
  <c r="H3" i="10"/>
  <c r="G3" i="10"/>
  <c r="F3" i="10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1" i="11" s="1"/>
  <c r="F40" i="11" s="1"/>
  <c r="F152" i="9"/>
  <c r="F151" i="9"/>
  <c r="J150" i="9"/>
  <c r="I150" i="9"/>
  <c r="H150" i="9"/>
  <c r="G150" i="9"/>
  <c r="F149" i="9"/>
  <c r="F148" i="9"/>
  <c r="F147" i="9"/>
  <c r="F146" i="9"/>
  <c r="F145" i="9"/>
  <c r="F144" i="9"/>
  <c r="F143" i="9"/>
  <c r="F142" i="9"/>
  <c r="F139" i="9"/>
  <c r="F138" i="9"/>
  <c r="F137" i="9"/>
  <c r="F136" i="9"/>
  <c r="F135" i="9"/>
  <c r="F134" i="9"/>
  <c r="F133" i="9"/>
  <c r="F132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J78" i="9"/>
  <c r="S10" i="20" s="1"/>
  <c r="I78" i="9"/>
  <c r="H78" i="9"/>
  <c r="Q10" i="20" s="1"/>
  <c r="G78" i="9"/>
  <c r="P10" i="20" s="1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J57" i="9"/>
  <c r="S11" i="20" s="1"/>
  <c r="I57" i="9"/>
  <c r="H57" i="9"/>
  <c r="Q11" i="20" s="1"/>
  <c r="G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AX22" i="19" s="1"/>
  <c r="F26" i="9"/>
  <c r="J25" i="9"/>
  <c r="S6" i="20" s="1"/>
  <c r="I25" i="9"/>
  <c r="H25" i="9"/>
  <c r="Q6" i="20" s="1"/>
  <c r="G25" i="9"/>
  <c r="P6" i="20" s="1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H7" i="11" s="1"/>
  <c r="F8" i="9"/>
  <c r="F7" i="9"/>
  <c r="F6" i="9"/>
  <c r="F5" i="9"/>
  <c r="J4" i="9"/>
  <c r="S7" i="20" s="1"/>
  <c r="I4" i="9"/>
  <c r="H4" i="9"/>
  <c r="Q7" i="20" s="1"/>
  <c r="G4" i="9"/>
  <c r="E3" i="18"/>
  <c r="E25" i="17"/>
  <c r="E3" i="17" s="1"/>
  <c r="E4" i="17"/>
  <c r="M27" i="11"/>
  <c r="B13" i="6" s="1"/>
  <c r="L27" i="11"/>
  <c r="B12" i="6" s="1"/>
  <c r="K27" i="11"/>
  <c r="B11" i="6" s="1"/>
  <c r="J27" i="11"/>
  <c r="I27" i="11"/>
  <c r="B9" i="6" s="1"/>
  <c r="H27" i="11"/>
  <c r="B8" i="6" s="1"/>
  <c r="G27" i="11"/>
  <c r="F27" i="11"/>
  <c r="E27" i="11"/>
  <c r="D27" i="11"/>
  <c r="B4" i="6" s="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H7" i="6" s="1"/>
  <c r="F25" i="11"/>
  <c r="H6" i="6" s="1"/>
  <c r="E25" i="11"/>
  <c r="H5" i="6" s="1"/>
  <c r="D25" i="11"/>
  <c r="H4" i="6" s="1"/>
  <c r="M23" i="11"/>
  <c r="L23" i="11"/>
  <c r="K23" i="11"/>
  <c r="J23" i="11"/>
  <c r="I23" i="11"/>
  <c r="H23" i="11"/>
  <c r="G23" i="11"/>
  <c r="F23" i="11"/>
  <c r="E23" i="11"/>
  <c r="D23" i="11"/>
  <c r="P156" i="3"/>
  <c r="M156" i="3"/>
  <c r="J156" i="3"/>
  <c r="G156" i="3"/>
  <c r="P155" i="3"/>
  <c r="M155" i="3"/>
  <c r="J155" i="3"/>
  <c r="D155" i="3" s="1"/>
  <c r="K12" i="4" s="1"/>
  <c r="G155" i="3"/>
  <c r="P154" i="3"/>
  <c r="M154" i="3"/>
  <c r="J154" i="3"/>
  <c r="G154" i="3"/>
  <c r="P153" i="3"/>
  <c r="M153" i="3"/>
  <c r="J153" i="3"/>
  <c r="D153" i="3" s="1"/>
  <c r="K10" i="4" s="1"/>
  <c r="G153" i="3"/>
  <c r="P152" i="3"/>
  <c r="M152" i="3"/>
  <c r="J152" i="3"/>
  <c r="G152" i="3"/>
  <c r="P151" i="3"/>
  <c r="M151" i="3"/>
  <c r="J151" i="3"/>
  <c r="G151" i="3"/>
  <c r="P150" i="3"/>
  <c r="M150" i="3"/>
  <c r="J150" i="3"/>
  <c r="G150" i="3"/>
  <c r="P149" i="3"/>
  <c r="M149" i="3"/>
  <c r="J149" i="3"/>
  <c r="D149" i="3" s="1"/>
  <c r="K6" i="4" s="1"/>
  <c r="G149" i="3"/>
  <c r="P148" i="3"/>
  <c r="M148" i="3"/>
  <c r="J148" i="3"/>
  <c r="G148" i="3"/>
  <c r="S147" i="3"/>
  <c r="P147" i="3"/>
  <c r="M147" i="3"/>
  <c r="J147" i="3"/>
  <c r="G147" i="3"/>
  <c r="Q136" i="3"/>
  <c r="P136" i="3"/>
  <c r="N136" i="3"/>
  <c r="M136" i="3"/>
  <c r="K136" i="3"/>
  <c r="J136" i="3"/>
  <c r="G136" i="3"/>
  <c r="Q135" i="3"/>
  <c r="P135" i="3"/>
  <c r="N135" i="3"/>
  <c r="M135" i="3"/>
  <c r="K135" i="3"/>
  <c r="J135" i="3"/>
  <c r="G135" i="3"/>
  <c r="Q134" i="3"/>
  <c r="P134" i="3"/>
  <c r="N134" i="3"/>
  <c r="M134" i="3"/>
  <c r="K134" i="3"/>
  <c r="J134" i="3"/>
  <c r="G134" i="3"/>
  <c r="Q133" i="3"/>
  <c r="P133" i="3"/>
  <c r="N133" i="3"/>
  <c r="M133" i="3"/>
  <c r="K133" i="3"/>
  <c r="J133" i="3"/>
  <c r="G133" i="3"/>
  <c r="Q132" i="3"/>
  <c r="P132" i="3"/>
  <c r="N132" i="3"/>
  <c r="M132" i="3"/>
  <c r="K132" i="3"/>
  <c r="J132" i="3"/>
  <c r="G132" i="3"/>
  <c r="Q131" i="3"/>
  <c r="P131" i="3"/>
  <c r="N131" i="3"/>
  <c r="M131" i="3"/>
  <c r="K131" i="3"/>
  <c r="J131" i="3"/>
  <c r="G131" i="3"/>
  <c r="Q130" i="3"/>
  <c r="P130" i="3"/>
  <c r="N130" i="3"/>
  <c r="M130" i="3"/>
  <c r="K130" i="3"/>
  <c r="J130" i="3"/>
  <c r="G130" i="3"/>
  <c r="Q129" i="3"/>
  <c r="P129" i="3"/>
  <c r="N129" i="3"/>
  <c r="M129" i="3"/>
  <c r="K129" i="3"/>
  <c r="J129" i="3"/>
  <c r="G129" i="3"/>
  <c r="Q128" i="3"/>
  <c r="P128" i="3"/>
  <c r="N128" i="3"/>
  <c r="M128" i="3"/>
  <c r="K128" i="3"/>
  <c r="J128" i="3"/>
  <c r="G128" i="3"/>
  <c r="Q127" i="3"/>
  <c r="P127" i="3"/>
  <c r="N127" i="3"/>
  <c r="M127" i="3"/>
  <c r="K127" i="3"/>
  <c r="J127" i="3"/>
  <c r="H127" i="3"/>
  <c r="G127" i="3"/>
  <c r="Q126" i="3"/>
  <c r="N126" i="3"/>
  <c r="K126" i="3"/>
  <c r="Q125" i="3"/>
  <c r="N125" i="3"/>
  <c r="K125" i="3"/>
  <c r="Q124" i="3"/>
  <c r="N124" i="3"/>
  <c r="K124" i="3"/>
  <c r="Q123" i="3"/>
  <c r="N123" i="3"/>
  <c r="K123" i="3"/>
  <c r="Q122" i="3"/>
  <c r="N122" i="3"/>
  <c r="K122" i="3"/>
  <c r="Q121" i="3"/>
  <c r="N121" i="3"/>
  <c r="K121" i="3"/>
  <c r="Q120" i="3"/>
  <c r="N120" i="3"/>
  <c r="K120" i="3"/>
  <c r="Q119" i="3"/>
  <c r="N119" i="3"/>
  <c r="K119" i="3"/>
  <c r="D116" i="3"/>
  <c r="D115" i="3"/>
  <c r="D114" i="3"/>
  <c r="D113" i="3"/>
  <c r="D112" i="3"/>
  <c r="D111" i="3"/>
  <c r="D110" i="3"/>
  <c r="D109" i="3"/>
  <c r="D108" i="3"/>
  <c r="D107" i="3"/>
  <c r="Q106" i="3"/>
  <c r="D118" i="14" s="1"/>
  <c r="P106" i="3"/>
  <c r="N106" i="3"/>
  <c r="D83" i="14" s="1"/>
  <c r="M106" i="3"/>
  <c r="K106" i="3"/>
  <c r="D48" i="14" s="1"/>
  <c r="J106" i="3"/>
  <c r="G106" i="3"/>
  <c r="Q105" i="3"/>
  <c r="P105" i="3"/>
  <c r="N105" i="3"/>
  <c r="M105" i="3"/>
  <c r="K105" i="3"/>
  <c r="J105" i="3"/>
  <c r="G105" i="3"/>
  <c r="Q104" i="3"/>
  <c r="D116" i="14" s="1"/>
  <c r="P104" i="3"/>
  <c r="N104" i="3"/>
  <c r="M104" i="3"/>
  <c r="K104" i="3"/>
  <c r="D46" i="14" s="1"/>
  <c r="J104" i="3"/>
  <c r="G104" i="3"/>
  <c r="Q103" i="3"/>
  <c r="P103" i="3"/>
  <c r="N103" i="3"/>
  <c r="M103" i="3"/>
  <c r="K103" i="3"/>
  <c r="J103" i="3"/>
  <c r="G103" i="3"/>
  <c r="Q102" i="3"/>
  <c r="D114" i="14" s="1"/>
  <c r="P102" i="3"/>
  <c r="N102" i="3"/>
  <c r="D79" i="14" s="1"/>
  <c r="M102" i="3"/>
  <c r="K102" i="3"/>
  <c r="D44" i="14" s="1"/>
  <c r="J102" i="3"/>
  <c r="G102" i="3"/>
  <c r="Q101" i="3"/>
  <c r="P101" i="3"/>
  <c r="N101" i="3"/>
  <c r="M101" i="3"/>
  <c r="K101" i="3"/>
  <c r="J101" i="3"/>
  <c r="G101" i="3"/>
  <c r="Q100" i="3"/>
  <c r="D112" i="14" s="1"/>
  <c r="P100" i="3"/>
  <c r="N100" i="3"/>
  <c r="D77" i="14" s="1"/>
  <c r="M100" i="3"/>
  <c r="K100" i="3"/>
  <c r="D42" i="14" s="1"/>
  <c r="J100" i="3"/>
  <c r="G100" i="3"/>
  <c r="Q99" i="3"/>
  <c r="P99" i="3"/>
  <c r="N99" i="3"/>
  <c r="M99" i="3"/>
  <c r="K99" i="3"/>
  <c r="J99" i="3"/>
  <c r="G99" i="3"/>
  <c r="Q98" i="3"/>
  <c r="D110" i="14" s="1"/>
  <c r="P98" i="3"/>
  <c r="N98" i="3"/>
  <c r="D75" i="14" s="1"/>
  <c r="M98" i="3"/>
  <c r="K98" i="3"/>
  <c r="D40" i="14" s="1"/>
  <c r="J98" i="3"/>
  <c r="G98" i="3"/>
  <c r="Q97" i="3"/>
  <c r="P97" i="3"/>
  <c r="R97" i="3" s="1"/>
  <c r="N97" i="3"/>
  <c r="M97" i="3"/>
  <c r="K97" i="3"/>
  <c r="J97" i="3"/>
  <c r="H97" i="3"/>
  <c r="G97" i="3"/>
  <c r="P96" i="3"/>
  <c r="M96" i="3"/>
  <c r="J96" i="3"/>
  <c r="G96" i="3"/>
  <c r="P95" i="3"/>
  <c r="M95" i="3"/>
  <c r="J95" i="3"/>
  <c r="G95" i="3"/>
  <c r="P94" i="3"/>
  <c r="M94" i="3"/>
  <c r="J94" i="3"/>
  <c r="G94" i="3"/>
  <c r="P93" i="3"/>
  <c r="M93" i="3"/>
  <c r="J93" i="3"/>
  <c r="G93" i="3"/>
  <c r="P92" i="3"/>
  <c r="M92" i="3"/>
  <c r="J92" i="3"/>
  <c r="G92" i="3"/>
  <c r="P91" i="3"/>
  <c r="M91" i="3"/>
  <c r="J91" i="3"/>
  <c r="G91" i="3"/>
  <c r="P90" i="3"/>
  <c r="M90" i="3"/>
  <c r="J90" i="3"/>
  <c r="G90" i="3"/>
  <c r="P89" i="3"/>
  <c r="M89" i="3"/>
  <c r="J89" i="3"/>
  <c r="G89" i="3"/>
  <c r="P88" i="3"/>
  <c r="M88" i="3"/>
  <c r="J88" i="3"/>
  <c r="G88" i="3"/>
  <c r="P87" i="3"/>
  <c r="M87" i="3"/>
  <c r="J87" i="3"/>
  <c r="G87" i="3"/>
  <c r="P86" i="3"/>
  <c r="M86" i="3"/>
  <c r="J86" i="3"/>
  <c r="G86" i="3"/>
  <c r="P85" i="3"/>
  <c r="M85" i="3"/>
  <c r="J85" i="3"/>
  <c r="G85" i="3"/>
  <c r="P84" i="3"/>
  <c r="M84" i="3"/>
  <c r="J84" i="3"/>
  <c r="G84" i="3"/>
  <c r="P83" i="3"/>
  <c r="M83" i="3"/>
  <c r="J83" i="3"/>
  <c r="G83" i="3"/>
  <c r="P82" i="3"/>
  <c r="M82" i="3"/>
  <c r="J82" i="3"/>
  <c r="G82" i="3"/>
  <c r="P81" i="3"/>
  <c r="M81" i="3"/>
  <c r="J81" i="3"/>
  <c r="G81" i="3"/>
  <c r="P80" i="3"/>
  <c r="M80" i="3"/>
  <c r="J80" i="3"/>
  <c r="G80" i="3"/>
  <c r="P79" i="3"/>
  <c r="M79" i="3"/>
  <c r="J79" i="3"/>
  <c r="G79" i="3"/>
  <c r="P78" i="3"/>
  <c r="M78" i="3"/>
  <c r="J78" i="3"/>
  <c r="G78" i="3"/>
  <c r="S77" i="3"/>
  <c r="P77" i="3"/>
  <c r="M77" i="3"/>
  <c r="J77" i="3"/>
  <c r="G77" i="3"/>
  <c r="D75" i="3"/>
  <c r="D74" i="3"/>
  <c r="D73" i="3"/>
  <c r="D72" i="3"/>
  <c r="D71" i="3"/>
  <c r="D70" i="3"/>
  <c r="D69" i="3"/>
  <c r="D68" i="3"/>
  <c r="D67" i="3"/>
  <c r="D66" i="3"/>
  <c r="R55" i="3"/>
  <c r="O55" i="3"/>
  <c r="L55" i="3"/>
  <c r="I55" i="3"/>
  <c r="E55" i="3"/>
  <c r="D55" i="3"/>
  <c r="R54" i="3"/>
  <c r="O54" i="3"/>
  <c r="L54" i="3"/>
  <c r="I54" i="3"/>
  <c r="E54" i="3"/>
  <c r="D54" i="3"/>
  <c r="R53" i="3"/>
  <c r="O53" i="3"/>
  <c r="L53" i="3"/>
  <c r="I53" i="3"/>
  <c r="E53" i="3"/>
  <c r="D53" i="3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R49" i="3"/>
  <c r="O49" i="3"/>
  <c r="L49" i="3"/>
  <c r="I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S46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126" i="3"/>
  <c r="O25" i="3"/>
  <c r="M126" i="3"/>
  <c r="J126" i="3"/>
  <c r="I25" i="3"/>
  <c r="G126" i="3"/>
  <c r="R24" i="3"/>
  <c r="O24" i="3"/>
  <c r="M125" i="3"/>
  <c r="J125" i="3"/>
  <c r="I24" i="3"/>
  <c r="G125" i="3"/>
  <c r="P124" i="3"/>
  <c r="O23" i="3"/>
  <c r="M124" i="3"/>
  <c r="L23" i="3"/>
  <c r="I23" i="3"/>
  <c r="G124" i="3"/>
  <c r="R22" i="3"/>
  <c r="O22" i="3"/>
  <c r="M123" i="3"/>
  <c r="J123" i="3"/>
  <c r="I22" i="3"/>
  <c r="G123" i="3"/>
  <c r="R21" i="3"/>
  <c r="O21" i="3"/>
  <c r="M122" i="3"/>
  <c r="J122" i="3"/>
  <c r="I21" i="3"/>
  <c r="G122" i="3"/>
  <c r="P121" i="3"/>
  <c r="O20" i="3"/>
  <c r="M121" i="3"/>
  <c r="L20" i="3"/>
  <c r="I20" i="3"/>
  <c r="G121" i="3"/>
  <c r="P120" i="3"/>
  <c r="O19" i="3"/>
  <c r="M120" i="3"/>
  <c r="L19" i="3"/>
  <c r="I19" i="3"/>
  <c r="G120" i="3"/>
  <c r="O18" i="3"/>
  <c r="M119" i="3"/>
  <c r="I18" i="3"/>
  <c r="G119" i="3"/>
  <c r="P118" i="3"/>
  <c r="L17" i="3"/>
  <c r="K118" i="3"/>
  <c r="J118" i="3"/>
  <c r="G118" i="3"/>
  <c r="P117" i="3"/>
  <c r="L16" i="3"/>
  <c r="K117" i="3"/>
  <c r="J117" i="3"/>
  <c r="I16" i="3"/>
  <c r="H117" i="3"/>
  <c r="G117" i="3"/>
  <c r="R15" i="3"/>
  <c r="O15" i="3"/>
  <c r="L15" i="3"/>
  <c r="D15" i="3"/>
  <c r="R14" i="3"/>
  <c r="O14" i="3"/>
  <c r="L14" i="3"/>
  <c r="D14" i="3"/>
  <c r="R13" i="3"/>
  <c r="O13" i="3"/>
  <c r="L13" i="3"/>
  <c r="D13" i="3"/>
  <c r="R12" i="3"/>
  <c r="O12" i="3"/>
  <c r="L12" i="3"/>
  <c r="D12" i="3"/>
  <c r="R11" i="3"/>
  <c r="O11" i="3"/>
  <c r="L11" i="3"/>
  <c r="D11" i="3"/>
  <c r="R10" i="3"/>
  <c r="O10" i="3"/>
  <c r="L10" i="3"/>
  <c r="D10" i="3"/>
  <c r="R9" i="3"/>
  <c r="O9" i="3"/>
  <c r="L9" i="3"/>
  <c r="D9" i="3"/>
  <c r="R8" i="3"/>
  <c r="O8" i="3"/>
  <c r="L8" i="3"/>
  <c r="D8" i="3"/>
  <c r="R7" i="3"/>
  <c r="O7" i="3"/>
  <c r="L7" i="3"/>
  <c r="D7" i="3"/>
  <c r="R6" i="3"/>
  <c r="O6" i="3"/>
  <c r="L6" i="3"/>
  <c r="I6" i="3"/>
  <c r="E6" i="3"/>
  <c r="D6" i="3"/>
  <c r="N14" i="6"/>
  <c r="K14" i="6"/>
  <c r="E13" i="6"/>
  <c r="E12" i="6"/>
  <c r="E11" i="6"/>
  <c r="E10" i="6"/>
  <c r="B10" i="6"/>
  <c r="E9" i="6"/>
  <c r="E8" i="6"/>
  <c r="E7" i="6"/>
  <c r="E6" i="6"/>
  <c r="B6" i="6"/>
  <c r="W5" i="6"/>
  <c r="E5" i="6"/>
  <c r="B5" i="6"/>
  <c r="W4" i="6"/>
  <c r="E4" i="6"/>
  <c r="E14" i="6" s="1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H14" i="20"/>
  <c r="G14" i="20"/>
  <c r="F14" i="20"/>
  <c r="E14" i="20"/>
  <c r="D14" i="20"/>
  <c r="G12" i="20"/>
  <c r="F12" i="20"/>
  <c r="E12" i="20"/>
  <c r="D12" i="20"/>
  <c r="H11" i="20"/>
  <c r="G11" i="20"/>
  <c r="F11" i="20"/>
  <c r="E11" i="20"/>
  <c r="D11" i="20"/>
  <c r="H10" i="20"/>
  <c r="G10" i="20"/>
  <c r="F10" i="20"/>
  <c r="E10" i="20"/>
  <c r="D10" i="20"/>
  <c r="G8" i="20"/>
  <c r="F8" i="20"/>
  <c r="E8" i="20"/>
  <c r="D8" i="20"/>
  <c r="H7" i="20"/>
  <c r="G7" i="20"/>
  <c r="F7" i="20"/>
  <c r="E7" i="20"/>
  <c r="D7" i="20"/>
  <c r="H6" i="20"/>
  <c r="G6" i="20"/>
  <c r="F6" i="20"/>
  <c r="E6" i="20"/>
  <c r="D6" i="20"/>
  <c r="G2" i="20"/>
  <c r="F2" i="20"/>
  <c r="E2" i="20"/>
  <c r="D2" i="20"/>
  <c r="F50" i="3" l="1"/>
  <c r="F54" i="3"/>
  <c r="W10" i="4"/>
  <c r="L123" i="3"/>
  <c r="D81" i="14"/>
  <c r="H28" i="11"/>
  <c r="G28" i="11"/>
  <c r="H14" i="6"/>
  <c r="C25" i="11"/>
  <c r="AI20" i="26"/>
  <c r="AP21" i="26"/>
  <c r="AG21" i="26"/>
  <c r="AH21" i="26"/>
  <c r="J28" i="11"/>
  <c r="I28" i="11"/>
  <c r="D42" i="11"/>
  <c r="L42" i="11"/>
  <c r="B7" i="6"/>
  <c r="B14" i="6" s="1"/>
  <c r="C27" i="11"/>
  <c r="E42" i="11"/>
  <c r="M42" i="11"/>
  <c r="K28" i="11"/>
  <c r="E28" i="11"/>
  <c r="M28" i="11"/>
  <c r="D28" i="11"/>
  <c r="L28" i="11"/>
  <c r="F28" i="11"/>
  <c r="I7" i="11"/>
  <c r="I36" i="11" s="1"/>
  <c r="G14" i="11"/>
  <c r="G43" i="11" s="1"/>
  <c r="P14" i="20"/>
  <c r="G175" i="9"/>
  <c r="Q14" i="20"/>
  <c r="U14" i="20" s="1"/>
  <c r="H175" i="9"/>
  <c r="R14" i="20"/>
  <c r="I175" i="9"/>
  <c r="D11" i="11"/>
  <c r="D40" i="11" s="1"/>
  <c r="L11" i="11"/>
  <c r="S14" i="20"/>
  <c r="J175" i="9"/>
  <c r="E8" i="11"/>
  <c r="E37" i="11" s="1"/>
  <c r="M8" i="11"/>
  <c r="M37" i="11" s="1"/>
  <c r="M14" i="11"/>
  <c r="M43" i="11" s="1"/>
  <c r="AQ22" i="19"/>
  <c r="P8" i="20"/>
  <c r="F86" i="10"/>
  <c r="Q8" i="20"/>
  <c r="Q5" i="20" s="1"/>
  <c r="G86" i="10"/>
  <c r="R8" i="20"/>
  <c r="H86" i="10"/>
  <c r="G7" i="11"/>
  <c r="G36" i="11" s="1"/>
  <c r="D8" i="11"/>
  <c r="D37" i="11" s="1"/>
  <c r="L8" i="11"/>
  <c r="L37" i="11" s="1"/>
  <c r="I8" i="11"/>
  <c r="I37" i="11" s="1"/>
  <c r="I14" i="11"/>
  <c r="O9" i="6" s="1"/>
  <c r="P9" i="6" s="1"/>
  <c r="H11" i="11"/>
  <c r="H40" i="11" s="1"/>
  <c r="D148" i="3"/>
  <c r="K5" i="4" s="1"/>
  <c r="D83" i="3"/>
  <c r="R128" i="3"/>
  <c r="R120" i="3"/>
  <c r="R124" i="3"/>
  <c r="E12" i="11"/>
  <c r="E41" i="11" s="1"/>
  <c r="M12" i="11"/>
  <c r="M41" i="11" s="1"/>
  <c r="K12" i="11"/>
  <c r="K41" i="11" s="1"/>
  <c r="K13" i="11"/>
  <c r="K42" i="11" s="1"/>
  <c r="I13" i="11"/>
  <c r="I42" i="11" s="1"/>
  <c r="J13" i="11"/>
  <c r="J42" i="11" s="1"/>
  <c r="F12" i="11"/>
  <c r="F41" i="11" s="1"/>
  <c r="L12" i="11"/>
  <c r="L41" i="11" s="1"/>
  <c r="J7" i="11"/>
  <c r="J36" i="11" s="1"/>
  <c r="H8" i="11"/>
  <c r="H37" i="11" s="1"/>
  <c r="H14" i="11"/>
  <c r="H43" i="11" s="1"/>
  <c r="G11" i="11"/>
  <c r="L7" i="6" s="1"/>
  <c r="M7" i="6" s="1"/>
  <c r="E7" i="11"/>
  <c r="E36" i="11" s="1"/>
  <c r="M7" i="11"/>
  <c r="M36" i="11" s="1"/>
  <c r="J8" i="11"/>
  <c r="J37" i="11" s="1"/>
  <c r="J14" i="11"/>
  <c r="J43" i="11" s="1"/>
  <c r="I11" i="11"/>
  <c r="I40" i="11" s="1"/>
  <c r="F7" i="11"/>
  <c r="F36" i="11" s="1"/>
  <c r="L105" i="3"/>
  <c r="O106" i="3"/>
  <c r="L127" i="3"/>
  <c r="F51" i="3"/>
  <c r="F55" i="3"/>
  <c r="D84" i="3"/>
  <c r="I127" i="3"/>
  <c r="D78" i="3"/>
  <c r="D82" i="3"/>
  <c r="R99" i="3"/>
  <c r="R101" i="3"/>
  <c r="F48" i="3"/>
  <c r="F52" i="3"/>
  <c r="D79" i="3"/>
  <c r="D103" i="3"/>
  <c r="D152" i="3"/>
  <c r="K9" i="4" s="1"/>
  <c r="W9" i="4" s="1"/>
  <c r="D156" i="3"/>
  <c r="K13" i="4" s="1"/>
  <c r="R105" i="3"/>
  <c r="O133" i="3"/>
  <c r="F46" i="3"/>
  <c r="L103" i="3"/>
  <c r="O103" i="3"/>
  <c r="O105" i="3"/>
  <c r="L130" i="3"/>
  <c r="O129" i="3"/>
  <c r="L135" i="3"/>
  <c r="K86" i="3"/>
  <c r="L86" i="3" s="1"/>
  <c r="K116" i="3" s="1"/>
  <c r="L116" i="3" s="1"/>
  <c r="D87" i="3"/>
  <c r="N4" i="4" s="1"/>
  <c r="D91" i="3"/>
  <c r="N8" i="4" s="1"/>
  <c r="D95" i="3"/>
  <c r="N12" i="4" s="1"/>
  <c r="W12" i="4" s="1"/>
  <c r="L97" i="3"/>
  <c r="L99" i="3"/>
  <c r="O136" i="3"/>
  <c r="O102" i="3"/>
  <c r="O134" i="3"/>
  <c r="L122" i="3"/>
  <c r="L126" i="3"/>
  <c r="G13" i="11"/>
  <c r="G42" i="11" s="1"/>
  <c r="H13" i="11"/>
  <c r="H42" i="11" s="1"/>
  <c r="D12" i="11"/>
  <c r="D41" i="11" s="1"/>
  <c r="L40" i="11"/>
  <c r="L12" i="6"/>
  <c r="M12" i="6" s="1"/>
  <c r="K10" i="11"/>
  <c r="K39" i="11" s="1"/>
  <c r="I10" i="11"/>
  <c r="I39" i="11" s="1"/>
  <c r="F14" i="11"/>
  <c r="O6" i="6" s="1"/>
  <c r="P6" i="6" s="1"/>
  <c r="E11" i="11"/>
  <c r="E40" i="11" s="1"/>
  <c r="M11" i="11"/>
  <c r="M40" i="11" s="1"/>
  <c r="J10" i="11"/>
  <c r="J39" i="11" s="1"/>
  <c r="K14" i="11"/>
  <c r="K43" i="11" s="1"/>
  <c r="J11" i="11"/>
  <c r="J40" i="11" s="1"/>
  <c r="L14" i="11"/>
  <c r="L43" i="11" s="1"/>
  <c r="K11" i="11"/>
  <c r="K40" i="11" s="1"/>
  <c r="K8" i="11"/>
  <c r="K37" i="11" s="1"/>
  <c r="L4" i="6"/>
  <c r="M4" i="6" s="1"/>
  <c r="O13" i="6"/>
  <c r="P13" i="6" s="1"/>
  <c r="G10" i="11"/>
  <c r="G39" i="11" s="1"/>
  <c r="H10" i="11"/>
  <c r="H39" i="11" s="1"/>
  <c r="L10" i="11"/>
  <c r="L39" i="11" s="1"/>
  <c r="M10" i="11"/>
  <c r="M39" i="11" s="1"/>
  <c r="D10" i="11"/>
  <c r="D39" i="11" s="1"/>
  <c r="E10" i="11"/>
  <c r="E39" i="11" s="1"/>
  <c r="F10" i="11"/>
  <c r="F39" i="11" s="1"/>
  <c r="F8" i="11"/>
  <c r="F37" i="11" s="1"/>
  <c r="G8" i="11"/>
  <c r="G37" i="11" s="1"/>
  <c r="J9" i="11"/>
  <c r="J38" i="11" s="1"/>
  <c r="K9" i="11"/>
  <c r="K38" i="11" s="1"/>
  <c r="F9" i="11"/>
  <c r="F38" i="11" s="1"/>
  <c r="L9" i="11"/>
  <c r="L38" i="11" s="1"/>
  <c r="M9" i="11"/>
  <c r="M38" i="11" s="1"/>
  <c r="G9" i="11"/>
  <c r="G38" i="11" s="1"/>
  <c r="D7" i="11"/>
  <c r="D36" i="11" s="1"/>
  <c r="L7" i="11"/>
  <c r="F12" i="6" s="1"/>
  <c r="G12" i="6" s="1"/>
  <c r="K7" i="11"/>
  <c r="K36" i="11" s="1"/>
  <c r="I9" i="11"/>
  <c r="I38" i="11" s="1"/>
  <c r="H9" i="11"/>
  <c r="H38" i="11" s="1"/>
  <c r="AJ9" i="19"/>
  <c r="AJ11" i="19"/>
  <c r="AJ15" i="19"/>
  <c r="AJ13" i="19"/>
  <c r="AJ14" i="19"/>
  <c r="AJ12" i="19"/>
  <c r="E9" i="11"/>
  <c r="E38" i="11" s="1"/>
  <c r="D9" i="11"/>
  <c r="D38" i="11" s="1"/>
  <c r="I14" i="20"/>
  <c r="F57" i="9"/>
  <c r="L6" i="6"/>
  <c r="M6" i="6" s="1"/>
  <c r="F150" i="9"/>
  <c r="F175" i="9" s="1"/>
  <c r="F25" i="9"/>
  <c r="O7" i="6"/>
  <c r="P7" i="6" s="1"/>
  <c r="F5" i="20"/>
  <c r="R11" i="20"/>
  <c r="G5" i="20"/>
  <c r="R7" i="20"/>
  <c r="R10" i="20"/>
  <c r="I10" i="20"/>
  <c r="H9" i="20"/>
  <c r="R6" i="20"/>
  <c r="T10" i="20"/>
  <c r="F4" i="9"/>
  <c r="H56" i="9"/>
  <c r="H173" i="9" s="1"/>
  <c r="F78" i="9"/>
  <c r="T6" i="20"/>
  <c r="I3" i="9"/>
  <c r="I172" i="9" s="1"/>
  <c r="I12" i="20"/>
  <c r="H5" i="20"/>
  <c r="F9" i="20"/>
  <c r="U12" i="20"/>
  <c r="S9" i="20"/>
  <c r="I7" i="20"/>
  <c r="I6" i="20"/>
  <c r="E9" i="20"/>
  <c r="S5" i="20"/>
  <c r="I11" i="20"/>
  <c r="G9" i="20"/>
  <c r="Q9" i="20"/>
  <c r="D9" i="20"/>
  <c r="E34" i="10"/>
  <c r="E5" i="20"/>
  <c r="E3" i="10"/>
  <c r="E31" i="27" s="1"/>
  <c r="I8" i="20"/>
  <c r="G14" i="4"/>
  <c r="U18" i="20" s="1"/>
  <c r="D150" i="3"/>
  <c r="K7" i="4" s="1"/>
  <c r="D154" i="3"/>
  <c r="K11" i="4" s="1"/>
  <c r="D151" i="3"/>
  <c r="K8" i="4" s="1"/>
  <c r="D147" i="3"/>
  <c r="K4" i="4" s="1"/>
  <c r="W4" i="4" s="1"/>
  <c r="F49" i="3"/>
  <c r="F53" i="3"/>
  <c r="F47" i="3"/>
  <c r="R127" i="3"/>
  <c r="R131" i="3"/>
  <c r="R132" i="3"/>
  <c r="D132" i="3"/>
  <c r="B9" i="4" s="1"/>
  <c r="T9" i="4" s="1"/>
  <c r="R130" i="3"/>
  <c r="D129" i="3"/>
  <c r="B6" i="4" s="1"/>
  <c r="T6" i="4" s="1"/>
  <c r="R129" i="3"/>
  <c r="R136" i="3"/>
  <c r="O130" i="3"/>
  <c r="O131" i="3"/>
  <c r="O132" i="3"/>
  <c r="L134" i="3"/>
  <c r="D130" i="3"/>
  <c r="B7" i="4" s="1"/>
  <c r="T7" i="4" s="1"/>
  <c r="D131" i="3"/>
  <c r="B8" i="4" s="1"/>
  <c r="T8" i="4" s="1"/>
  <c r="D133" i="3"/>
  <c r="B10" i="4" s="1"/>
  <c r="T10" i="4" s="1"/>
  <c r="R135" i="3"/>
  <c r="D134" i="3"/>
  <c r="B11" i="4" s="1"/>
  <c r="T11" i="4" s="1"/>
  <c r="D135" i="3"/>
  <c r="B12" i="4" s="1"/>
  <c r="T12" i="4" s="1"/>
  <c r="R121" i="3"/>
  <c r="D85" i="3"/>
  <c r="D102" i="3"/>
  <c r="R134" i="3"/>
  <c r="R103" i="3"/>
  <c r="R133" i="3"/>
  <c r="F6" i="3"/>
  <c r="O98" i="3"/>
  <c r="D97" i="3"/>
  <c r="O101" i="3"/>
  <c r="O127" i="3"/>
  <c r="O128" i="3"/>
  <c r="O122" i="3"/>
  <c r="D86" i="3"/>
  <c r="O97" i="3"/>
  <c r="D106" i="3"/>
  <c r="O99" i="3"/>
  <c r="D94" i="3"/>
  <c r="N11" i="4" s="1"/>
  <c r="D100" i="3"/>
  <c r="D101" i="3"/>
  <c r="E127" i="3"/>
  <c r="C4" i="4" s="1"/>
  <c r="U4" i="4" s="1"/>
  <c r="D128" i="3"/>
  <c r="B5" i="4" s="1"/>
  <c r="T5" i="4" s="1"/>
  <c r="D77" i="3"/>
  <c r="L106" i="3"/>
  <c r="D104" i="3"/>
  <c r="D105" i="3"/>
  <c r="D88" i="3"/>
  <c r="N5" i="4" s="1"/>
  <c r="L133" i="3"/>
  <c r="D98" i="3"/>
  <c r="L131" i="3"/>
  <c r="L101" i="3"/>
  <c r="D90" i="3"/>
  <c r="N7" i="4" s="1"/>
  <c r="D99" i="3"/>
  <c r="L129" i="3"/>
  <c r="D96" i="3"/>
  <c r="N13" i="4" s="1"/>
  <c r="D81" i="3"/>
  <c r="D92" i="3"/>
  <c r="N9" i="4" s="1"/>
  <c r="D89" i="3"/>
  <c r="N6" i="4" s="1"/>
  <c r="W6" i="4" s="1"/>
  <c r="D93" i="3"/>
  <c r="N10" i="4" s="1"/>
  <c r="D80" i="3"/>
  <c r="I97" i="3"/>
  <c r="O121" i="3"/>
  <c r="O125" i="3"/>
  <c r="D126" i="3"/>
  <c r="Q13" i="6" s="1"/>
  <c r="T13" i="6" s="1"/>
  <c r="L118" i="3"/>
  <c r="L125" i="3"/>
  <c r="G15" i="4"/>
  <c r="I18" i="20" s="1"/>
  <c r="I117" i="3"/>
  <c r="Q117" i="3"/>
  <c r="R117" i="3" s="1"/>
  <c r="R16" i="3"/>
  <c r="J119" i="3"/>
  <c r="L119" i="3" s="1"/>
  <c r="L18" i="3"/>
  <c r="O123" i="3"/>
  <c r="O124" i="3"/>
  <c r="D5" i="20"/>
  <c r="M117" i="3"/>
  <c r="D117" i="3" s="1"/>
  <c r="Q4" i="6" s="1"/>
  <c r="Q118" i="3"/>
  <c r="R118" i="3" s="1"/>
  <c r="R17" i="3"/>
  <c r="L117" i="3"/>
  <c r="I17" i="3"/>
  <c r="M118" i="3"/>
  <c r="D118" i="3" s="1"/>
  <c r="Q5" i="6" s="1"/>
  <c r="T5" i="6" s="1"/>
  <c r="R18" i="3"/>
  <c r="P119" i="3"/>
  <c r="R119" i="3" s="1"/>
  <c r="O119" i="3"/>
  <c r="O120" i="3"/>
  <c r="J121" i="3"/>
  <c r="L121" i="3" s="1"/>
  <c r="P123" i="3"/>
  <c r="D123" i="3" s="1"/>
  <c r="R126" i="3"/>
  <c r="D4" i="14"/>
  <c r="L98" i="3"/>
  <c r="R100" i="3"/>
  <c r="L102" i="3"/>
  <c r="R104" i="3"/>
  <c r="J120" i="3"/>
  <c r="D120" i="3" s="1"/>
  <c r="Q7" i="6" s="1"/>
  <c r="P122" i="3"/>
  <c r="R122" i="3" s="1"/>
  <c r="J124" i="3"/>
  <c r="L124" i="3" s="1"/>
  <c r="P125" i="3"/>
  <c r="D125" i="3" s="1"/>
  <c r="Q12" i="6" s="1"/>
  <c r="T12" i="6" s="1"/>
  <c r="D39" i="14"/>
  <c r="D43" i="14"/>
  <c r="D47" i="14"/>
  <c r="R19" i="3"/>
  <c r="R20" i="3"/>
  <c r="L21" i="3"/>
  <c r="L22" i="3"/>
  <c r="R23" i="3"/>
  <c r="L24" i="3"/>
  <c r="L25" i="3"/>
  <c r="R25" i="3"/>
  <c r="O100" i="3"/>
  <c r="O104" i="3"/>
  <c r="O126" i="3"/>
  <c r="L136" i="3"/>
  <c r="E97" i="3"/>
  <c r="R98" i="3"/>
  <c r="L100" i="3"/>
  <c r="R102" i="3"/>
  <c r="L104" i="3"/>
  <c r="R106" i="3"/>
  <c r="O135" i="3"/>
  <c r="D136" i="3"/>
  <c r="B13" i="4" s="1"/>
  <c r="T13" i="4" s="1"/>
  <c r="AI18" i="19"/>
  <c r="D41" i="14"/>
  <c r="D45" i="14"/>
  <c r="L128" i="3"/>
  <c r="L132" i="3"/>
  <c r="I56" i="9"/>
  <c r="I173" i="9" s="1"/>
  <c r="AI6" i="26"/>
  <c r="D80" i="14"/>
  <c r="D109" i="14"/>
  <c r="D117" i="14"/>
  <c r="D127" i="3"/>
  <c r="B4" i="4" s="1"/>
  <c r="C23" i="11"/>
  <c r="H36" i="11"/>
  <c r="H3" i="9"/>
  <c r="H172" i="9" s="1"/>
  <c r="P7" i="20"/>
  <c r="G3" i="9"/>
  <c r="G172" i="9" s="1"/>
  <c r="T7" i="20"/>
  <c r="J56" i="9"/>
  <c r="J173" i="9" s="1"/>
  <c r="D78" i="14"/>
  <c r="D115" i="14"/>
  <c r="D76" i="14"/>
  <c r="D113" i="14"/>
  <c r="J3" i="9"/>
  <c r="J172" i="9" s="1"/>
  <c r="P11" i="20"/>
  <c r="G56" i="9"/>
  <c r="G173" i="9" s="1"/>
  <c r="T11" i="20"/>
  <c r="D74" i="14"/>
  <c r="D82" i="14"/>
  <c r="D111" i="14"/>
  <c r="K77" i="3"/>
  <c r="K87" i="3" s="1"/>
  <c r="L87" i="3" s="1"/>
  <c r="N77" i="3"/>
  <c r="O77" i="3" s="1"/>
  <c r="N107" i="3" s="1"/>
  <c r="O107" i="3" s="1"/>
  <c r="C8" i="6"/>
  <c r="D8" i="6" s="1"/>
  <c r="H77" i="3"/>
  <c r="Q79" i="3"/>
  <c r="N80" i="3"/>
  <c r="K81" i="3"/>
  <c r="Q83" i="3"/>
  <c r="N84" i="3"/>
  <c r="K85" i="3"/>
  <c r="Q77" i="3"/>
  <c r="Q78" i="3"/>
  <c r="N79" i="3"/>
  <c r="K80" i="3"/>
  <c r="Q82" i="3"/>
  <c r="N83" i="3"/>
  <c r="K84" i="3"/>
  <c r="Q86" i="3"/>
  <c r="N78" i="3"/>
  <c r="K79" i="3"/>
  <c r="Q81" i="3"/>
  <c r="N82" i="3"/>
  <c r="K83" i="3"/>
  <c r="Q85" i="3"/>
  <c r="N86" i="3"/>
  <c r="K78" i="3"/>
  <c r="Q80" i="3"/>
  <c r="N81" i="3"/>
  <c r="K82" i="3"/>
  <c r="Q84" i="3"/>
  <c r="N85" i="3"/>
  <c r="W8" i="4" l="1"/>
  <c r="W7" i="4"/>
  <c r="W5" i="4"/>
  <c r="E5" i="2" s="1"/>
  <c r="W11" i="4"/>
  <c r="W13" i="4"/>
  <c r="E13" i="2" s="1"/>
  <c r="F127" i="3"/>
  <c r="AI21" i="26"/>
  <c r="C28" i="11"/>
  <c r="T7" i="6"/>
  <c r="B7" i="2" s="1"/>
  <c r="F6" i="6"/>
  <c r="G6" i="6" s="1"/>
  <c r="E172" i="9"/>
  <c r="E175" i="9"/>
  <c r="E173" i="9"/>
  <c r="F4" i="6"/>
  <c r="G4" i="6" s="1"/>
  <c r="F8" i="6"/>
  <c r="G8" i="6" s="1"/>
  <c r="I43" i="11"/>
  <c r="C9" i="6"/>
  <c r="D9" i="6" s="1"/>
  <c r="U8" i="20"/>
  <c r="C7" i="6"/>
  <c r="D7" i="6" s="1"/>
  <c r="C5" i="6"/>
  <c r="D5" i="6" s="1"/>
  <c r="C11" i="6"/>
  <c r="D11" i="6" s="1"/>
  <c r="C42" i="11"/>
  <c r="C10" i="6"/>
  <c r="D10" i="6" s="1"/>
  <c r="E86" i="10"/>
  <c r="G40" i="11"/>
  <c r="C40" i="11" s="1"/>
  <c r="L9" i="6"/>
  <c r="M9" i="6" s="1"/>
  <c r="I7" i="6"/>
  <c r="J7" i="6" s="1"/>
  <c r="L8" i="6"/>
  <c r="M8" i="6" s="1"/>
  <c r="F43" i="11"/>
  <c r="F5" i="6"/>
  <c r="G5" i="6" s="1"/>
  <c r="F9" i="6"/>
  <c r="G9" i="6" s="1"/>
  <c r="R22" i="20"/>
  <c r="C13" i="11"/>
  <c r="C41" i="11"/>
  <c r="C12" i="6"/>
  <c r="D12" i="6" s="1"/>
  <c r="C6" i="6"/>
  <c r="D6" i="6" s="1"/>
  <c r="C13" i="6"/>
  <c r="D13" i="6" s="1"/>
  <c r="O8" i="6"/>
  <c r="P8" i="6" s="1"/>
  <c r="O11" i="6"/>
  <c r="P11" i="6" s="1"/>
  <c r="O10" i="6"/>
  <c r="P10" i="6" s="1"/>
  <c r="C11" i="11"/>
  <c r="F11" i="6"/>
  <c r="G11" i="6" s="1"/>
  <c r="F13" i="6"/>
  <c r="G13" i="6" s="1"/>
  <c r="F10" i="6"/>
  <c r="G10" i="6" s="1"/>
  <c r="C37" i="11"/>
  <c r="C7" i="11"/>
  <c r="I9" i="6"/>
  <c r="J9" i="6" s="1"/>
  <c r="L36" i="11"/>
  <c r="C36" i="11" s="1"/>
  <c r="L10" i="6"/>
  <c r="M10" i="6" s="1"/>
  <c r="D121" i="3"/>
  <c r="Q8" i="6" s="1"/>
  <c r="T8" i="6" s="1"/>
  <c r="B8" i="2" s="1"/>
  <c r="K96" i="3"/>
  <c r="L96" i="3" s="1"/>
  <c r="D4" i="4"/>
  <c r="C12" i="11"/>
  <c r="C4" i="6"/>
  <c r="D4" i="6" s="1"/>
  <c r="L11" i="6"/>
  <c r="M11" i="6" s="1"/>
  <c r="L5" i="6"/>
  <c r="M5" i="6" s="1"/>
  <c r="O12" i="6"/>
  <c r="P12" i="6" s="1"/>
  <c r="L13" i="6"/>
  <c r="M13" i="6" s="1"/>
  <c r="I10" i="6"/>
  <c r="J10" i="6" s="1"/>
  <c r="I11" i="6"/>
  <c r="J11" i="6" s="1"/>
  <c r="I44" i="11"/>
  <c r="C8" i="11"/>
  <c r="I8" i="6"/>
  <c r="J8" i="6" s="1"/>
  <c r="K44" i="11"/>
  <c r="T9" i="20"/>
  <c r="M44" i="11"/>
  <c r="J44" i="11"/>
  <c r="F7" i="6"/>
  <c r="G7" i="6" s="1"/>
  <c r="C39" i="11"/>
  <c r="I13" i="6"/>
  <c r="J13" i="6" s="1"/>
  <c r="C10" i="11"/>
  <c r="F56" i="9"/>
  <c r="F173" i="9" s="1"/>
  <c r="F44" i="11"/>
  <c r="I6" i="6"/>
  <c r="J6" i="6" s="1"/>
  <c r="I12" i="6"/>
  <c r="J12" i="6" s="1"/>
  <c r="E44" i="11"/>
  <c r="C38" i="11"/>
  <c r="I5" i="6"/>
  <c r="J5" i="6" s="1"/>
  <c r="R5" i="20"/>
  <c r="C9" i="11"/>
  <c r="AJ18" i="19"/>
  <c r="AJ21" i="19" s="1"/>
  <c r="AJ22" i="19" s="1"/>
  <c r="I4" i="6"/>
  <c r="J4" i="6" s="1"/>
  <c r="H44" i="11"/>
  <c r="T5" i="20"/>
  <c r="R9" i="20"/>
  <c r="F3" i="9"/>
  <c r="F172" i="9" s="1"/>
  <c r="K140" i="9" s="1"/>
  <c r="U10" i="20"/>
  <c r="U6" i="20"/>
  <c r="U11" i="20"/>
  <c r="P9" i="20"/>
  <c r="I9" i="20"/>
  <c r="I5" i="20"/>
  <c r="K14" i="4"/>
  <c r="S17" i="20"/>
  <c r="S16" i="20" s="1"/>
  <c r="G17" i="20"/>
  <c r="G16" i="20" s="1"/>
  <c r="F97" i="3"/>
  <c r="B13" i="2"/>
  <c r="Q22" i="20"/>
  <c r="N14" i="4"/>
  <c r="R125" i="3"/>
  <c r="R123" i="3"/>
  <c r="D124" i="3"/>
  <c r="Q11" i="6" s="1"/>
  <c r="T11" i="6" s="1"/>
  <c r="B11" i="2" s="1"/>
  <c r="Q10" i="6"/>
  <c r="E12" i="2"/>
  <c r="B12" i="2"/>
  <c r="B5" i="2"/>
  <c r="D119" i="3"/>
  <c r="N117" i="3"/>
  <c r="O16" i="3"/>
  <c r="D122" i="3"/>
  <c r="Q9" i="6" s="1"/>
  <c r="T9" i="6" s="1"/>
  <c r="S22" i="20"/>
  <c r="L120" i="3"/>
  <c r="E4" i="20" s="1"/>
  <c r="Q17" i="20"/>
  <c r="Q16" i="20" s="1"/>
  <c r="E17" i="20"/>
  <c r="E16" i="20" s="1"/>
  <c r="P5" i="20"/>
  <c r="U7" i="20"/>
  <c r="B14" i="4"/>
  <c r="T4" i="4"/>
  <c r="R17" i="20"/>
  <c r="R16" i="20" s="1"/>
  <c r="F17" i="20"/>
  <c r="F16" i="20" s="1"/>
  <c r="N118" i="3"/>
  <c r="O17" i="3"/>
  <c r="T4" i="6"/>
  <c r="L77" i="3"/>
  <c r="K107" i="3" s="1"/>
  <c r="L107" i="3" s="1"/>
  <c r="N87" i="3"/>
  <c r="O87" i="3" s="1"/>
  <c r="Q96" i="3"/>
  <c r="R96" i="3" s="1"/>
  <c r="R86" i="3"/>
  <c r="Q116" i="3" s="1"/>
  <c r="R116" i="3" s="1"/>
  <c r="Q92" i="3"/>
  <c r="R92" i="3" s="1"/>
  <c r="R82" i="3"/>
  <c r="Q112" i="3" s="1"/>
  <c r="R112" i="3" s="1"/>
  <c r="Q88" i="3"/>
  <c r="R88" i="3" s="1"/>
  <c r="R78" i="3"/>
  <c r="Q108" i="3" s="1"/>
  <c r="R108" i="3" s="1"/>
  <c r="N94" i="3"/>
  <c r="O94" i="3" s="1"/>
  <c r="O84" i="3"/>
  <c r="N114" i="3" s="1"/>
  <c r="O114" i="3" s="1"/>
  <c r="N90" i="3"/>
  <c r="O90" i="3" s="1"/>
  <c r="O80" i="3"/>
  <c r="N110" i="3" s="1"/>
  <c r="O110" i="3" s="1"/>
  <c r="H87" i="3"/>
  <c r="I77" i="3"/>
  <c r="E77" i="3"/>
  <c r="K92" i="3"/>
  <c r="L92" i="3" s="1"/>
  <c r="L82" i="3"/>
  <c r="K112" i="3" s="1"/>
  <c r="L112" i="3" s="1"/>
  <c r="K88" i="3"/>
  <c r="L88" i="3" s="1"/>
  <c r="L78" i="3"/>
  <c r="K108" i="3" s="1"/>
  <c r="L108" i="3" s="1"/>
  <c r="L83" i="3"/>
  <c r="K113" i="3" s="1"/>
  <c r="L113" i="3" s="1"/>
  <c r="K93" i="3"/>
  <c r="L93" i="3" s="1"/>
  <c r="L79" i="3"/>
  <c r="K109" i="3" s="1"/>
  <c r="L109" i="3" s="1"/>
  <c r="K89" i="3"/>
  <c r="L89" i="3" s="1"/>
  <c r="R77" i="3"/>
  <c r="Q107" i="3" s="1"/>
  <c r="R107" i="3" s="1"/>
  <c r="Q87" i="3"/>
  <c r="R87" i="3" s="1"/>
  <c r="Q93" i="3"/>
  <c r="R93" i="3" s="1"/>
  <c r="R83" i="3"/>
  <c r="Q113" i="3" s="1"/>
  <c r="R113" i="3" s="1"/>
  <c r="Q89" i="3"/>
  <c r="R89" i="3" s="1"/>
  <c r="R79" i="3"/>
  <c r="Q109" i="3" s="1"/>
  <c r="R109" i="3" s="1"/>
  <c r="N95" i="3"/>
  <c r="O95" i="3" s="1"/>
  <c r="O85" i="3"/>
  <c r="N115" i="3" s="1"/>
  <c r="O115" i="3" s="1"/>
  <c r="N91" i="3"/>
  <c r="O91" i="3" s="1"/>
  <c r="O81" i="3"/>
  <c r="N111" i="3" s="1"/>
  <c r="O111" i="3" s="1"/>
  <c r="O86" i="3"/>
  <c r="N116" i="3" s="1"/>
  <c r="O116" i="3" s="1"/>
  <c r="N96" i="3"/>
  <c r="O96" i="3" s="1"/>
  <c r="O82" i="3"/>
  <c r="N112" i="3" s="1"/>
  <c r="O112" i="3" s="1"/>
  <c r="N92" i="3"/>
  <c r="O92" i="3" s="1"/>
  <c r="O78" i="3"/>
  <c r="N108" i="3" s="1"/>
  <c r="O108" i="3" s="1"/>
  <c r="N88" i="3"/>
  <c r="O88" i="3" s="1"/>
  <c r="K94" i="3"/>
  <c r="L94" i="3" s="1"/>
  <c r="L84" i="3"/>
  <c r="K114" i="3" s="1"/>
  <c r="L114" i="3" s="1"/>
  <c r="K90" i="3"/>
  <c r="L90" i="3" s="1"/>
  <c r="L80" i="3"/>
  <c r="K110" i="3" s="1"/>
  <c r="L110" i="3" s="1"/>
  <c r="Q94" i="3"/>
  <c r="R94" i="3" s="1"/>
  <c r="R84" i="3"/>
  <c r="Q114" i="3" s="1"/>
  <c r="R114" i="3" s="1"/>
  <c r="Q90" i="3"/>
  <c r="R90" i="3" s="1"/>
  <c r="R80" i="3"/>
  <c r="Q110" i="3" s="1"/>
  <c r="R110" i="3" s="1"/>
  <c r="R85" i="3"/>
  <c r="Q115" i="3" s="1"/>
  <c r="R115" i="3" s="1"/>
  <c r="Q95" i="3"/>
  <c r="R95" i="3" s="1"/>
  <c r="R81" i="3"/>
  <c r="Q111" i="3" s="1"/>
  <c r="R111" i="3" s="1"/>
  <c r="Q91" i="3"/>
  <c r="R91" i="3" s="1"/>
  <c r="N93" i="3"/>
  <c r="O93" i="3" s="1"/>
  <c r="O83" i="3"/>
  <c r="N113" i="3" s="1"/>
  <c r="O113" i="3" s="1"/>
  <c r="N89" i="3"/>
  <c r="O89" i="3" s="1"/>
  <c r="O79" i="3"/>
  <c r="N109" i="3" s="1"/>
  <c r="O109" i="3" s="1"/>
  <c r="K95" i="3"/>
  <c r="L95" i="3" s="1"/>
  <c r="L85" i="3"/>
  <c r="K115" i="3" s="1"/>
  <c r="L115" i="3" s="1"/>
  <c r="K91" i="3"/>
  <c r="L91" i="3" s="1"/>
  <c r="L81" i="3"/>
  <c r="K111" i="3" s="1"/>
  <c r="L111" i="3" s="1"/>
  <c r="G140" i="9" l="1"/>
  <c r="S4" i="4"/>
  <c r="K130" i="9"/>
  <c r="K131" i="9"/>
  <c r="J140" i="9"/>
  <c r="I140" i="9"/>
  <c r="H140" i="9"/>
  <c r="G131" i="9"/>
  <c r="G130" i="9"/>
  <c r="E7" i="2"/>
  <c r="G44" i="11"/>
  <c r="M15" i="6"/>
  <c r="L44" i="11"/>
  <c r="E8" i="2"/>
  <c r="F14" i="6"/>
  <c r="S4" i="20"/>
  <c r="W14" i="4"/>
  <c r="C14" i="6"/>
  <c r="M14" i="6"/>
  <c r="L14" i="6"/>
  <c r="U9" i="20"/>
  <c r="J14" i="6"/>
  <c r="I14" i="6"/>
  <c r="J15" i="6"/>
  <c r="G4" i="20"/>
  <c r="E11" i="2"/>
  <c r="T14" i="4"/>
  <c r="B4" i="2"/>
  <c r="O117" i="3"/>
  <c r="E117" i="3"/>
  <c r="O118" i="3"/>
  <c r="T10" i="6"/>
  <c r="E4" i="2"/>
  <c r="V4" i="4"/>
  <c r="Q4" i="20"/>
  <c r="B9" i="2"/>
  <c r="E9" i="2"/>
  <c r="Q6" i="6"/>
  <c r="U5" i="20"/>
  <c r="D15" i="6"/>
  <c r="Q20" i="20"/>
  <c r="R21" i="20"/>
  <c r="F21" i="20"/>
  <c r="S20" i="20"/>
  <c r="G20" i="20"/>
  <c r="Q21" i="20"/>
  <c r="E21" i="20"/>
  <c r="I87" i="3"/>
  <c r="E87" i="3"/>
  <c r="O4" i="4" s="1"/>
  <c r="G15" i="6"/>
  <c r="G14" i="6"/>
  <c r="E20" i="20"/>
  <c r="F20" i="20"/>
  <c r="R20" i="20"/>
  <c r="S21" i="20"/>
  <c r="G21" i="20"/>
  <c r="D14" i="6"/>
  <c r="H107" i="3"/>
  <c r="F77" i="3"/>
  <c r="J129" i="9" l="1"/>
  <c r="J174" i="9" s="1"/>
  <c r="J176" i="9" s="1"/>
  <c r="G13" i="20"/>
  <c r="G3" i="20" s="1"/>
  <c r="G129" i="9"/>
  <c r="G174" i="9" s="1"/>
  <c r="G176" i="9" s="1"/>
  <c r="I129" i="9"/>
  <c r="I174" i="9" s="1"/>
  <c r="I176" i="9" s="1"/>
  <c r="F130" i="9"/>
  <c r="F131" i="9"/>
  <c r="H13" i="20"/>
  <c r="H3" i="20" s="1"/>
  <c r="F141" i="9"/>
  <c r="F140" i="9"/>
  <c r="K129" i="9"/>
  <c r="K174" i="9" s="1"/>
  <c r="K176" i="9" s="1"/>
  <c r="F13" i="20"/>
  <c r="H129" i="9"/>
  <c r="H174" i="9" s="1"/>
  <c r="H176" i="9" s="1"/>
  <c r="E13" i="20"/>
  <c r="E3" i="20" s="1"/>
  <c r="D13" i="20"/>
  <c r="J177" i="9"/>
  <c r="E10" i="2"/>
  <c r="B10" i="2"/>
  <c r="R4" i="20"/>
  <c r="F4" i="20"/>
  <c r="T6" i="6"/>
  <c r="Q14" i="6"/>
  <c r="F117" i="3"/>
  <c r="R4" i="6"/>
  <c r="P4" i="4"/>
  <c r="F87" i="3"/>
  <c r="I107" i="3"/>
  <c r="E107" i="3"/>
  <c r="I4" i="4" s="1"/>
  <c r="G177" i="9" l="1"/>
  <c r="S13" i="20"/>
  <c r="S3" i="20" s="1"/>
  <c r="P13" i="20"/>
  <c r="I177" i="9"/>
  <c r="R13" i="20"/>
  <c r="F129" i="9"/>
  <c r="F174" i="9" s="1"/>
  <c r="F176" i="9" s="1"/>
  <c r="D14" i="11"/>
  <c r="O4" i="6" s="1"/>
  <c r="T13" i="20"/>
  <c r="T3" i="20" s="1"/>
  <c r="E14" i="11"/>
  <c r="H177" i="9"/>
  <c r="E174" i="9"/>
  <c r="E176" i="9" s="1"/>
  <c r="Q13" i="20"/>
  <c r="Q3" i="20" s="1"/>
  <c r="I13" i="20"/>
  <c r="R3" i="20"/>
  <c r="S4" i="6"/>
  <c r="F3" i="20"/>
  <c r="B6" i="2"/>
  <c r="E6" i="2"/>
  <c r="E14" i="2" s="1"/>
  <c r="T14" i="6"/>
  <c r="J4" i="4"/>
  <c r="F107" i="3"/>
  <c r="D43" i="11" l="1"/>
  <c r="D44" i="11" s="1"/>
  <c r="C44" i="11" s="1"/>
  <c r="C14" i="11"/>
  <c r="C15" i="11" s="1"/>
  <c r="U13" i="20"/>
  <c r="V13" i="20" s="1"/>
  <c r="O5" i="6"/>
  <c r="E43" i="11"/>
  <c r="E177" i="9"/>
  <c r="P4" i="6"/>
  <c r="U4" i="6"/>
  <c r="B14" i="2"/>
  <c r="C43" i="11" l="1"/>
  <c r="P5" i="6"/>
  <c r="P15" i="6" s="1"/>
  <c r="O14" i="6"/>
  <c r="V4" i="6"/>
  <c r="C4" i="2"/>
  <c r="P14" i="6" l="1"/>
  <c r="D4" i="2"/>
  <c r="I4" i="2" l="1"/>
  <c r="I66" i="3" l="1"/>
  <c r="H147" i="3"/>
  <c r="I147" i="3" l="1"/>
  <c r="E24" i="14"/>
  <c r="D24" i="14" s="1"/>
  <c r="Q92" i="33"/>
  <c r="Q120" i="33"/>
  <c r="Q107" i="33" s="1"/>
  <c r="Q15" i="24" s="1"/>
  <c r="Z65" i="33"/>
  <c r="Z12" i="24" s="1"/>
  <c r="V92" i="33"/>
  <c r="V79" i="33" s="1"/>
  <c r="V13" i="24" s="1"/>
  <c r="Q106" i="33"/>
  <c r="Q93" i="33" s="1"/>
  <c r="Q14" i="24" s="1"/>
  <c r="U65" i="33"/>
  <c r="U12" i="24" s="1"/>
  <c r="V106" i="33"/>
  <c r="V120" i="33"/>
  <c r="Z106" i="33"/>
  <c r="Z93" i="33" s="1"/>
  <c r="Z14" i="24" s="1"/>
  <c r="Q65" i="33"/>
  <c r="Q12" i="24" s="1"/>
  <c r="S65" i="33"/>
  <c r="V65" i="33"/>
  <c r="V12" i="24" s="1"/>
  <c r="AC65" i="33"/>
  <c r="T65" i="33"/>
  <c r="T12" i="24" s="1"/>
  <c r="W65" i="33"/>
  <c r="W12" i="24" s="1"/>
  <c r="AB65" i="33"/>
  <c r="AB12" i="24" s="1"/>
  <c r="Y65" i="33"/>
  <c r="Y12" i="24" s="1"/>
  <c r="T106" i="33"/>
  <c r="T93" i="33" s="1"/>
  <c r="T14" i="24" s="1"/>
  <c r="AA65" i="33"/>
  <c r="AA12" i="24" s="1"/>
  <c r="R92" i="33"/>
  <c r="R106" i="33" s="1"/>
  <c r="Y106" i="33" s="1"/>
  <c r="Y93" i="33" s="1"/>
  <c r="Y14" i="24" s="1"/>
  <c r="R65" i="33"/>
  <c r="R12" i="24" s="1"/>
  <c r="R120" i="33"/>
  <c r="S120" i="33" s="1"/>
  <c r="S107" i="33" s="1"/>
  <c r="S15" i="24" s="1"/>
  <c r="X65" i="33"/>
  <c r="X12" i="24" s="1"/>
  <c r="R222" i="33" l="1"/>
  <c r="R236" i="33" s="1"/>
  <c r="L150" i="33"/>
  <c r="L137" i="33" s="1"/>
  <c r="L164" i="33"/>
  <c r="L151" i="33" s="1"/>
  <c r="L20" i="24" s="1"/>
  <c r="AD20" i="24" s="1"/>
  <c r="S92" i="33"/>
  <c r="S79" i="33" s="1"/>
  <c r="S13" i="24" s="1"/>
  <c r="Z92" i="33"/>
  <c r="Z79" i="33" s="1"/>
  <c r="Z13" i="24" s="1"/>
  <c r="Z120" i="33"/>
  <c r="Z107" i="33" s="1"/>
  <c r="Z15" i="24" s="1"/>
  <c r="Y236" i="33"/>
  <c r="Y223" i="33" s="1"/>
  <c r="Y27" i="24" s="1"/>
  <c r="AC236" i="33"/>
  <c r="AC223" i="33" s="1"/>
  <c r="AC27" i="24" s="1"/>
  <c r="S236" i="33"/>
  <c r="S223" i="33" s="1"/>
  <c r="S27" i="24" s="1"/>
  <c r="Z236" i="33"/>
  <c r="Z223" i="33" s="1"/>
  <c r="Z27" i="24" s="1"/>
  <c r="T236" i="33"/>
  <c r="T223" i="33" s="1"/>
  <c r="T27" i="24" s="1"/>
  <c r="R223" i="33"/>
  <c r="AD137" i="33"/>
  <c r="L19" i="24"/>
  <c r="S106" i="33"/>
  <c r="S93" i="33" s="1"/>
  <c r="S14" i="24" s="1"/>
  <c r="AC106" i="33"/>
  <c r="AC93" i="33" s="1"/>
  <c r="AC14" i="24" s="1"/>
  <c r="AB106" i="33"/>
  <c r="AB93" i="33" s="1"/>
  <c r="AB14" i="24" s="1"/>
  <c r="AA120" i="33"/>
  <c r="AA107" i="33" s="1"/>
  <c r="AA15" i="24" s="1"/>
  <c r="V107" i="33"/>
  <c r="V15" i="24" s="1"/>
  <c r="AC12" i="24"/>
  <c r="R93" i="33"/>
  <c r="R14" i="24" s="1"/>
  <c r="S12" i="24"/>
  <c r="V93" i="33"/>
  <c r="V14" i="24" s="1"/>
  <c r="AA106" i="33"/>
  <c r="AA93" i="33" s="1"/>
  <c r="AA14" i="24" s="1"/>
  <c r="AC92" i="33"/>
  <c r="AC79" i="33" s="1"/>
  <c r="AC13" i="24" s="1"/>
  <c r="T92" i="33"/>
  <c r="T79" i="33" s="1"/>
  <c r="T13" i="24" s="1"/>
  <c r="R79" i="33"/>
  <c r="R13" i="24" s="1"/>
  <c r="R134" i="33"/>
  <c r="Y92" i="33"/>
  <c r="Y79" i="33" s="1"/>
  <c r="Y13" i="24" s="1"/>
  <c r="AA92" i="33"/>
  <c r="AA79" i="33" s="1"/>
  <c r="AA13" i="24" s="1"/>
  <c r="V134" i="33"/>
  <c r="AC222" i="33"/>
  <c r="AC209" i="33" s="1"/>
  <c r="Y222" i="33"/>
  <c r="Y209" i="33" s="1"/>
  <c r="T222" i="33"/>
  <c r="T209" i="33" s="1"/>
  <c r="S222" i="33"/>
  <c r="S209" i="33" s="1"/>
  <c r="R209" i="33"/>
  <c r="Z222" i="33"/>
  <c r="Z209" i="33" s="1"/>
  <c r="R107" i="33"/>
  <c r="R15" i="24" s="1"/>
  <c r="T120" i="33"/>
  <c r="T107" i="33" s="1"/>
  <c r="T15" i="24" s="1"/>
  <c r="AC120" i="33"/>
  <c r="AC107" i="33" s="1"/>
  <c r="AC15" i="24" s="1"/>
  <c r="Y120" i="33"/>
  <c r="Y107" i="33" s="1"/>
  <c r="Y15" i="24" s="1"/>
  <c r="Q134" i="33"/>
  <c r="Q121" i="33" s="1"/>
  <c r="Q16" i="24" s="1"/>
  <c r="Q79" i="33"/>
  <c r="L178" i="33" l="1"/>
  <c r="AD151" i="33"/>
  <c r="AE151" i="33" s="1"/>
  <c r="AH151" i="33" s="1"/>
  <c r="AG20" i="24" s="1"/>
  <c r="AC26" i="24"/>
  <c r="V121" i="33"/>
  <c r="V16" i="24" s="1"/>
  <c r="AA134" i="33"/>
  <c r="AA121" i="33" s="1"/>
  <c r="AA16" i="24" s="1"/>
  <c r="R27" i="24"/>
  <c r="AD27" i="24" s="1"/>
  <c r="AD223" i="33"/>
  <c r="AE223" i="33" s="1"/>
  <c r="Y26" i="24"/>
  <c r="AD19" i="24"/>
  <c r="Q13" i="24"/>
  <c r="AD209" i="33"/>
  <c r="R26" i="24"/>
  <c r="T26" i="24"/>
  <c r="Z134" i="33"/>
  <c r="Z121" i="33" s="1"/>
  <c r="Z16" i="24" s="1"/>
  <c r="AC134" i="33"/>
  <c r="AC121" i="33" s="1"/>
  <c r="AC16" i="24" s="1"/>
  <c r="Y134" i="33"/>
  <c r="Y121" i="33" s="1"/>
  <c r="Y16" i="24" s="1"/>
  <c r="R121" i="33"/>
  <c r="S134" i="33"/>
  <c r="S121" i="33" s="1"/>
  <c r="S16" i="24" s="1"/>
  <c r="T134" i="33"/>
  <c r="T121" i="33" s="1"/>
  <c r="T16" i="24" s="1"/>
  <c r="Z26" i="24"/>
  <c r="S26" i="24"/>
  <c r="L165" i="33"/>
  <c r="L192" i="33"/>
  <c r="AE137" i="33"/>
  <c r="AG151" i="33" l="1"/>
  <c r="AF20" i="24" s="1"/>
  <c r="AI151" i="33"/>
  <c r="AH20" i="24" s="1"/>
  <c r="AF151" i="33"/>
  <c r="AE20" i="24" s="1"/>
  <c r="R16" i="24"/>
  <c r="L206" i="33"/>
  <c r="L193" i="33" s="1"/>
  <c r="L179" i="33"/>
  <c r="AH223" i="33"/>
  <c r="AG27" i="24" s="1"/>
  <c r="AI223" i="33"/>
  <c r="AH27" i="24" s="1"/>
  <c r="AG223" i="33"/>
  <c r="AF27" i="24" s="1"/>
  <c r="AF223" i="33"/>
  <c r="AE27" i="24" s="1"/>
  <c r="L21" i="24"/>
  <c r="AD21" i="24" s="1"/>
  <c r="AD165" i="33"/>
  <c r="AD26" i="24"/>
  <c r="AD25" i="24" s="1"/>
  <c r="AH137" i="33"/>
  <c r="AG137" i="33"/>
  <c r="AI137" i="33"/>
  <c r="AF137" i="33"/>
  <c r="AE209" i="33"/>
  <c r="AD208" i="33"/>
  <c r="AG19" i="24" l="1"/>
  <c r="AE165" i="33"/>
  <c r="L22" i="24"/>
  <c r="AD22" i="24" s="1"/>
  <c r="AD179" i="33"/>
  <c r="AE179" i="33" s="1"/>
  <c r="AF19" i="24"/>
  <c r="AG209" i="33"/>
  <c r="AH209" i="33"/>
  <c r="AI209" i="33"/>
  <c r="AF209" i="33"/>
  <c r="AE19" i="24"/>
  <c r="L23" i="24"/>
  <c r="AD23" i="24" s="1"/>
  <c r="AD193" i="33"/>
  <c r="AE193" i="33" s="1"/>
  <c r="AH19" i="24"/>
  <c r="AF26" i="24" l="1"/>
  <c r="AH179" i="33"/>
  <c r="AG22" i="24" s="1"/>
  <c r="AF179" i="33"/>
  <c r="AE22" i="24" s="1"/>
  <c r="AG179" i="33"/>
  <c r="AF22" i="24" s="1"/>
  <c r="AI179" i="33"/>
  <c r="AH22" i="24" s="1"/>
  <c r="AG26" i="24"/>
  <c r="AD18" i="24"/>
  <c r="AG165" i="33"/>
  <c r="AH165" i="33"/>
  <c r="AF165" i="33"/>
  <c r="AI165" i="33"/>
  <c r="AE26" i="24"/>
  <c r="AE208" i="33"/>
  <c r="AF193" i="33"/>
  <c r="AE23" i="24" s="1"/>
  <c r="AI193" i="33"/>
  <c r="AH23" i="24" s="1"/>
  <c r="AH193" i="33"/>
  <c r="AG23" i="24" s="1"/>
  <c r="AG193" i="33"/>
  <c r="AF23" i="24" s="1"/>
  <c r="AD136" i="33"/>
  <c r="AH26" i="24"/>
  <c r="AG21" i="24" l="1"/>
  <c r="AH21" i="24"/>
  <c r="AE21" i="24"/>
  <c r="AE136" i="33"/>
  <c r="AF21" i="24"/>
  <c r="AF237" i="33"/>
  <c r="AH237" i="33"/>
  <c r="AG237" i="33"/>
  <c r="AI237" i="33"/>
  <c r="AE28" i="24" l="1"/>
  <c r="AE25" i="24" s="1"/>
  <c r="AF208" i="33"/>
  <c r="AH28" i="24"/>
  <c r="AI208" i="33"/>
  <c r="AF207" i="33"/>
  <c r="AG207" i="33"/>
  <c r="AH207" i="33"/>
  <c r="AI207" i="33"/>
  <c r="AF28" i="24"/>
  <c r="AF25" i="24" s="1"/>
  <c r="AG208" i="33"/>
  <c r="AG28" i="24"/>
  <c r="AH208" i="33"/>
  <c r="AH24" i="24" l="1"/>
  <c r="AI136" i="33"/>
  <c r="G208" i="33"/>
  <c r="AA208" i="33"/>
  <c r="X208" i="33"/>
  <c r="V208" i="33"/>
  <c r="AB208" i="33"/>
  <c r="N208" i="33"/>
  <c r="Y208" i="33"/>
  <c r="AC208" i="33"/>
  <c r="S208" i="33"/>
  <c r="E208" i="33"/>
  <c r="D208" i="33"/>
  <c r="M208" i="33"/>
  <c r="Z208" i="33"/>
  <c r="W208" i="33"/>
  <c r="R208" i="33"/>
  <c r="L208" i="33"/>
  <c r="U208" i="33"/>
  <c r="F208" i="33"/>
  <c r="Q208" i="33"/>
  <c r="T208" i="33"/>
  <c r="P208" i="33"/>
  <c r="AF24" i="24"/>
  <c r="AF18" i="24" s="1"/>
  <c r="AG136" i="33"/>
  <c r="AE24" i="24"/>
  <c r="AE18" i="24" s="1"/>
  <c r="AF136" i="33"/>
  <c r="AG24" i="24"/>
  <c r="AH136" i="33"/>
  <c r="F25" i="24"/>
  <c r="R25" i="24"/>
  <c r="M25" i="24"/>
  <c r="Y25" i="24"/>
  <c r="E25" i="24"/>
  <c r="V25" i="24"/>
  <c r="D25" i="24"/>
  <c r="N25" i="24"/>
  <c r="Z25" i="24"/>
  <c r="Q25" i="24"/>
  <c r="AB25" i="24"/>
  <c r="T25" i="24"/>
  <c r="X25" i="24"/>
  <c r="P25" i="24"/>
  <c r="AA25" i="24"/>
  <c r="AC25" i="24"/>
  <c r="U25" i="24"/>
  <c r="W25" i="24"/>
  <c r="S25" i="24"/>
  <c r="L25" i="24"/>
  <c r="G25" i="24"/>
  <c r="F136" i="33" l="1"/>
  <c r="AA136" i="33"/>
  <c r="N136" i="33"/>
  <c r="V136" i="33"/>
  <c r="R136" i="33"/>
  <c r="D136" i="33"/>
  <c r="G136" i="33"/>
  <c r="Y136" i="33"/>
  <c r="AB136" i="33"/>
  <c r="T136" i="33"/>
  <c r="U136" i="33"/>
  <c r="E136" i="33"/>
  <c r="P136" i="33"/>
  <c r="M136" i="33"/>
  <c r="AC136" i="33"/>
  <c r="S136" i="33"/>
  <c r="Q136" i="33"/>
  <c r="L136" i="33"/>
  <c r="X136" i="33"/>
  <c r="W136" i="33"/>
  <c r="Z136" i="33"/>
  <c r="AC18" i="24"/>
  <c r="W18" i="24"/>
  <c r="D18" i="24"/>
  <c r="X18" i="24"/>
  <c r="M18" i="24"/>
  <c r="T18" i="24"/>
  <c r="AB18" i="24"/>
  <c r="E18" i="24"/>
  <c r="Y18" i="24"/>
  <c r="S18" i="24"/>
  <c r="AA18" i="24"/>
  <c r="F18" i="24"/>
  <c r="Z18" i="24"/>
  <c r="L18" i="24"/>
  <c r="G18" i="24"/>
  <c r="R18" i="24"/>
  <c r="P18" i="24"/>
  <c r="Q18" i="24"/>
  <c r="V18" i="24"/>
  <c r="N18" i="24"/>
  <c r="U18" i="24"/>
  <c r="P120" i="33"/>
  <c r="P107" i="33" s="1"/>
  <c r="P15" i="24" s="1"/>
  <c r="AD15" i="24" s="1"/>
  <c r="AD107" i="33"/>
  <c r="AE107" i="33" s="1"/>
  <c r="AI107" i="33" s="1"/>
  <c r="AH15" i="24" s="1"/>
  <c r="P106" i="33"/>
  <c r="P93" i="33" s="1"/>
  <c r="P92" i="33"/>
  <c r="P134" i="33" s="1"/>
  <c r="P121" i="33" s="1"/>
  <c r="P65" i="33"/>
  <c r="AD65" i="33" s="1"/>
  <c r="AE65" i="33" s="1"/>
  <c r="P12" i="24" l="1"/>
  <c r="AD12" i="24" s="1"/>
  <c r="P79" i="33"/>
  <c r="AD79" i="33" s="1"/>
  <c r="AE79" i="33" s="1"/>
  <c r="AF65" i="33"/>
  <c r="AG65" i="33"/>
  <c r="AH65" i="33"/>
  <c r="AI65" i="33"/>
  <c r="P14" i="24"/>
  <c r="AD14" i="24" s="1"/>
  <c r="AD93" i="33"/>
  <c r="AE93" i="33" s="1"/>
  <c r="AD121" i="33"/>
  <c r="AE121" i="33" s="1"/>
  <c r="P16" i="24"/>
  <c r="AD16" i="24" s="1"/>
  <c r="AF107" i="33"/>
  <c r="AE15" i="24" s="1"/>
  <c r="AG107" i="33"/>
  <c r="AF15" i="24" s="1"/>
  <c r="AH107" i="33"/>
  <c r="AG15" i="24" s="1"/>
  <c r="P13" i="24" l="1"/>
  <c r="AD13" i="24" s="1"/>
  <c r="AD11" i="24" s="1"/>
  <c r="AG12" i="24"/>
  <c r="AG93" i="33"/>
  <c r="AF14" i="24" s="1"/>
  <c r="AI93" i="33"/>
  <c r="AH14" i="24" s="1"/>
  <c r="AF93" i="33"/>
  <c r="AE14" i="24" s="1"/>
  <c r="AH93" i="33"/>
  <c r="AG14" i="24" s="1"/>
  <c r="AH12" i="24"/>
  <c r="AF12" i="24"/>
  <c r="AD64" i="33"/>
  <c r="AG79" i="33"/>
  <c r="AF13" i="24" s="1"/>
  <c r="AI79" i="33"/>
  <c r="AH13" i="24" s="1"/>
  <c r="AF79" i="33"/>
  <c r="AE13" i="24" s="1"/>
  <c r="AH79" i="33"/>
  <c r="AG13" i="24" s="1"/>
  <c r="AH121" i="33"/>
  <c r="AG16" i="24" s="1"/>
  <c r="AI121" i="33"/>
  <c r="AH16" i="24" s="1"/>
  <c r="AG121" i="33"/>
  <c r="AF16" i="24" s="1"/>
  <c r="AF121" i="33"/>
  <c r="AE16" i="24" s="1"/>
  <c r="AE12" i="24"/>
  <c r="AE64" i="33" l="1"/>
  <c r="AG135" i="33" l="1"/>
  <c r="AF135" i="33"/>
  <c r="AH135" i="33"/>
  <c r="AI135" i="33"/>
  <c r="AH17" i="24" l="1"/>
  <c r="AI64" i="33"/>
  <c r="AI4" i="33" s="1"/>
  <c r="AE17" i="24"/>
  <c r="AE11" i="24" s="1"/>
  <c r="AF64" i="33"/>
  <c r="AG17" i="24"/>
  <c r="AH64" i="33"/>
  <c r="AH4" i="33" s="1"/>
  <c r="AF17" i="24"/>
  <c r="AF11" i="24" s="1"/>
  <c r="AF4" i="24" s="1"/>
  <c r="H7" i="3" s="1"/>
  <c r="H138" i="3" s="1"/>
  <c r="R5" i="4" s="1"/>
  <c r="AG64" i="33"/>
  <c r="AG4" i="33" s="1"/>
  <c r="E138" i="3" l="1"/>
  <c r="I138" i="3"/>
  <c r="F138" i="3" s="1"/>
  <c r="H8" i="3"/>
  <c r="H139" i="3" s="1"/>
  <c r="R6" i="4" s="1"/>
  <c r="E7" i="3"/>
  <c r="H98" i="3"/>
  <c r="I7" i="3"/>
  <c r="F7" i="3" s="1"/>
  <c r="H118" i="3"/>
  <c r="H128" i="3"/>
  <c r="D15" i="14"/>
  <c r="H78" i="3"/>
  <c r="AG303" i="33"/>
  <c r="AG304" i="33" s="1"/>
  <c r="AG307" i="33" s="1"/>
  <c r="AI303" i="33"/>
  <c r="AI304" i="33" s="1"/>
  <c r="AH303" i="33"/>
  <c r="AH304" i="33" s="1"/>
  <c r="AH307" i="33" s="1"/>
  <c r="AF4" i="33"/>
  <c r="X64" i="33"/>
  <c r="M64" i="33"/>
  <c r="F64" i="33"/>
  <c r="D64" i="33"/>
  <c r="R64" i="33"/>
  <c r="Y64" i="33"/>
  <c r="Q64" i="33"/>
  <c r="G64" i="33"/>
  <c r="P64" i="33"/>
  <c r="W64" i="33"/>
  <c r="Z64" i="33"/>
  <c r="N64" i="33"/>
  <c r="U64" i="33"/>
  <c r="S64" i="33"/>
  <c r="AA64" i="33"/>
  <c r="E64" i="33"/>
  <c r="AB64" i="33"/>
  <c r="T64" i="33"/>
  <c r="AC64" i="33"/>
  <c r="L64" i="33"/>
  <c r="V64" i="33"/>
  <c r="AE4" i="24"/>
  <c r="AB11" i="24"/>
  <c r="P11" i="24"/>
  <c r="Z11" i="24"/>
  <c r="S11" i="24"/>
  <c r="L11" i="24"/>
  <c r="N11" i="24"/>
  <c r="V11" i="24"/>
  <c r="Q11" i="24"/>
  <c r="W11" i="24"/>
  <c r="AC11" i="24"/>
  <c r="D11" i="24"/>
  <c r="T11" i="24"/>
  <c r="E11" i="24"/>
  <c r="X11" i="24"/>
  <c r="F11" i="24"/>
  <c r="U11" i="24"/>
  <c r="G11" i="24"/>
  <c r="AA11" i="24"/>
  <c r="Y11" i="24"/>
  <c r="R11" i="24"/>
  <c r="M11" i="24"/>
  <c r="I139" i="3" l="1"/>
  <c r="F139" i="3" s="1"/>
  <c r="E139" i="3"/>
  <c r="E98" i="3"/>
  <c r="I98" i="3"/>
  <c r="D5" i="14"/>
  <c r="I128" i="3"/>
  <c r="E128" i="3"/>
  <c r="C5" i="4" s="1"/>
  <c r="I118" i="3"/>
  <c r="E118" i="3"/>
  <c r="H88" i="3"/>
  <c r="I78" i="3"/>
  <c r="E78" i="3"/>
  <c r="H9" i="3"/>
  <c r="H140" i="3" s="1"/>
  <c r="R7" i="4" s="1"/>
  <c r="H119" i="3"/>
  <c r="H99" i="3"/>
  <c r="I8" i="3"/>
  <c r="F8" i="3" s="1"/>
  <c r="E8" i="3"/>
  <c r="H129" i="3"/>
  <c r="H79" i="3"/>
  <c r="D16" i="14"/>
  <c r="Z4" i="33"/>
  <c r="R4" i="33"/>
  <c r="AB4" i="33"/>
  <c r="P4" i="33"/>
  <c r="F4" i="33"/>
  <c r="X4" i="33"/>
  <c r="S4" i="33"/>
  <c r="T4" i="33"/>
  <c r="K4" i="33"/>
  <c r="M4" i="33"/>
  <c r="W4" i="33"/>
  <c r="V4" i="33"/>
  <c r="G4" i="33"/>
  <c r="AD4" i="33"/>
  <c r="I4" i="33"/>
  <c r="Y4" i="33"/>
  <c r="Q4" i="33"/>
  <c r="O4" i="33"/>
  <c r="AE4" i="33"/>
  <c r="J4" i="33"/>
  <c r="E4" i="33"/>
  <c r="U4" i="33"/>
  <c r="AC4" i="33"/>
  <c r="L4" i="33"/>
  <c r="H4" i="33"/>
  <c r="D4" i="33"/>
  <c r="AF303" i="33"/>
  <c r="AF304" i="33" s="1"/>
  <c r="N4" i="33"/>
  <c r="AA4" i="33"/>
  <c r="E4" i="24"/>
  <c r="M4" i="24"/>
  <c r="AC4" i="24"/>
  <c r="W4" i="24"/>
  <c r="I4" i="24"/>
  <c r="AD4" i="24"/>
  <c r="Y4" i="24"/>
  <c r="T4" i="24"/>
  <c r="L4" i="24"/>
  <c r="K4" i="24"/>
  <c r="V4" i="24"/>
  <c r="R4" i="24"/>
  <c r="G4" i="24"/>
  <c r="Q4" i="24"/>
  <c r="S4" i="24"/>
  <c r="AB4" i="24"/>
  <c r="F4" i="24"/>
  <c r="D4" i="24"/>
  <c r="X4" i="24"/>
  <c r="J4" i="24"/>
  <c r="Z4" i="24"/>
  <c r="P4" i="24"/>
  <c r="H4" i="24"/>
  <c r="N4" i="24"/>
  <c r="U4" i="24"/>
  <c r="O4" i="24"/>
  <c r="AA4" i="24"/>
  <c r="I140" i="3" l="1"/>
  <c r="F140" i="3" s="1"/>
  <c r="E140" i="3"/>
  <c r="D6" i="14"/>
  <c r="E99" i="3"/>
  <c r="I99" i="3"/>
  <c r="F99" i="3" s="1"/>
  <c r="H10" i="3"/>
  <c r="H141" i="3" s="1"/>
  <c r="R8" i="4" s="1"/>
  <c r="H120" i="3"/>
  <c r="H100" i="3"/>
  <c r="I9" i="3"/>
  <c r="F9" i="3" s="1"/>
  <c r="H130" i="3"/>
  <c r="E9" i="3"/>
  <c r="D17" i="14"/>
  <c r="H80" i="3"/>
  <c r="F128" i="3"/>
  <c r="I119" i="3"/>
  <c r="E119" i="3"/>
  <c r="U5" i="4"/>
  <c r="D5" i="4"/>
  <c r="H89" i="3"/>
  <c r="E79" i="3"/>
  <c r="I79" i="3"/>
  <c r="E129" i="3"/>
  <c r="C6" i="4" s="1"/>
  <c r="I129" i="3"/>
  <c r="F129" i="3" s="1"/>
  <c r="F78" i="3"/>
  <c r="H108" i="3"/>
  <c r="F98" i="3"/>
  <c r="R5" i="6"/>
  <c r="F118" i="3"/>
  <c r="S5" i="4"/>
  <c r="I88" i="3"/>
  <c r="E88" i="3"/>
  <c r="O5" i="4" s="1"/>
  <c r="AF307" i="33"/>
  <c r="AF305" i="33"/>
  <c r="R66" i="3"/>
  <c r="F129" i="14"/>
  <c r="E129" i="14" s="1"/>
  <c r="Q147" i="3"/>
  <c r="R147" i="3" s="1"/>
  <c r="F59" i="14"/>
  <c r="E59" i="14" s="1"/>
  <c r="K147" i="3"/>
  <c r="L66" i="3"/>
  <c r="E66" i="3"/>
  <c r="F94" i="14"/>
  <c r="E94" i="14" s="1"/>
  <c r="N147" i="3"/>
  <c r="O147" i="3" s="1"/>
  <c r="O66" i="3"/>
  <c r="I67" i="3"/>
  <c r="H148" i="3"/>
  <c r="F25" i="14"/>
  <c r="E25" i="14" s="1"/>
  <c r="E141" i="3" l="1"/>
  <c r="I141" i="3"/>
  <c r="F141" i="3" s="1"/>
  <c r="S5" i="6"/>
  <c r="U5" i="6"/>
  <c r="F79" i="3"/>
  <c r="H109" i="3"/>
  <c r="E100" i="3"/>
  <c r="D7" i="14"/>
  <c r="I100" i="3"/>
  <c r="S6" i="4"/>
  <c r="I89" i="3"/>
  <c r="F89" i="3" s="1"/>
  <c r="E89" i="3"/>
  <c r="O6" i="4" s="1"/>
  <c r="P6" i="4" s="1"/>
  <c r="F88" i="3"/>
  <c r="I120" i="3"/>
  <c r="E120" i="3"/>
  <c r="E108" i="3"/>
  <c r="I5" i="4" s="1"/>
  <c r="I108" i="3"/>
  <c r="P5" i="4"/>
  <c r="I80" i="3"/>
  <c r="E80" i="3"/>
  <c r="H90" i="3"/>
  <c r="U6" i="4"/>
  <c r="V6" i="4" s="1"/>
  <c r="D6" i="4"/>
  <c r="V5" i="4"/>
  <c r="H11" i="3"/>
  <c r="H142" i="3" s="1"/>
  <c r="R9" i="4" s="1"/>
  <c r="H121" i="3"/>
  <c r="I10" i="3"/>
  <c r="F10" i="3" s="1"/>
  <c r="H101" i="3"/>
  <c r="E10" i="3"/>
  <c r="H131" i="3"/>
  <c r="H81" i="3"/>
  <c r="D18" i="14"/>
  <c r="R6" i="6"/>
  <c r="F119" i="3"/>
  <c r="I130" i="3"/>
  <c r="E130" i="3"/>
  <c r="C7" i="4" s="1"/>
  <c r="D94" i="14"/>
  <c r="D25" i="14"/>
  <c r="F66" i="3"/>
  <c r="E147" i="3"/>
  <c r="L4" i="4" s="1"/>
  <c r="X4" i="4" s="1"/>
  <c r="L147" i="3"/>
  <c r="K149" i="3"/>
  <c r="L149" i="3" s="1"/>
  <c r="F61" i="14"/>
  <c r="E61" i="14" s="1"/>
  <c r="L68" i="3"/>
  <c r="F95" i="14"/>
  <c r="E95" i="14" s="1"/>
  <c r="O67" i="3"/>
  <c r="N148" i="3"/>
  <c r="O148" i="3" s="1"/>
  <c r="F99" i="14"/>
  <c r="E99" i="14" s="1"/>
  <c r="O71" i="3"/>
  <c r="N152" i="3"/>
  <c r="O152" i="3" s="1"/>
  <c r="L70" i="3"/>
  <c r="K151" i="3"/>
  <c r="L151" i="3" s="1"/>
  <c r="F63" i="14"/>
  <c r="E63" i="14" s="1"/>
  <c r="K150" i="3"/>
  <c r="L150" i="3" s="1"/>
  <c r="F62" i="14"/>
  <c r="E62" i="14" s="1"/>
  <c r="L69" i="3"/>
  <c r="R73" i="3"/>
  <c r="Q154" i="3"/>
  <c r="R154" i="3" s="1"/>
  <c r="F136" i="14"/>
  <c r="E136" i="14" s="1"/>
  <c r="N150" i="3"/>
  <c r="O150" i="3" s="1"/>
  <c r="O69" i="3"/>
  <c r="F97" i="14"/>
  <c r="E97" i="14" s="1"/>
  <c r="O68" i="3"/>
  <c r="N149" i="3"/>
  <c r="O149" i="3" s="1"/>
  <c r="F96" i="14"/>
  <c r="E96" i="14" s="1"/>
  <c r="L72" i="3"/>
  <c r="F65" i="14"/>
  <c r="E65" i="14" s="1"/>
  <c r="K153" i="3"/>
  <c r="L153" i="3" s="1"/>
  <c r="Q148" i="3"/>
  <c r="R148" i="3" s="1"/>
  <c r="F130" i="14"/>
  <c r="E130" i="14" s="1"/>
  <c r="R67" i="3"/>
  <c r="O73" i="3"/>
  <c r="N154" i="3"/>
  <c r="O154" i="3" s="1"/>
  <c r="F101" i="14"/>
  <c r="E101" i="14" s="1"/>
  <c r="O72" i="3"/>
  <c r="F100" i="14"/>
  <c r="E100" i="14" s="1"/>
  <c r="N153" i="3"/>
  <c r="O153" i="3" s="1"/>
  <c r="L74" i="3"/>
  <c r="F67" i="14"/>
  <c r="E67" i="14" s="1"/>
  <c r="K155" i="3"/>
  <c r="L155" i="3" s="1"/>
  <c r="F138" i="14"/>
  <c r="E138" i="14" s="1"/>
  <c r="Q156" i="3"/>
  <c r="R156" i="3" s="1"/>
  <c r="R75" i="3"/>
  <c r="R70" i="3"/>
  <c r="Q151" i="3"/>
  <c r="R151" i="3" s="1"/>
  <c r="F133" i="14"/>
  <c r="E133" i="14" s="1"/>
  <c r="K152" i="3"/>
  <c r="L152" i="3" s="1"/>
  <c r="F64" i="14"/>
  <c r="E64" i="14" s="1"/>
  <c r="L71" i="3"/>
  <c r="R74" i="3"/>
  <c r="F137" i="14"/>
  <c r="E137" i="14" s="1"/>
  <c r="Q155" i="3"/>
  <c r="R155" i="3" s="1"/>
  <c r="F135" i="14"/>
  <c r="E135" i="14" s="1"/>
  <c r="Q153" i="3"/>
  <c r="R153" i="3" s="1"/>
  <c r="R72" i="3"/>
  <c r="E67" i="3"/>
  <c r="L67" i="3"/>
  <c r="K148" i="3"/>
  <c r="L148" i="3" s="1"/>
  <c r="F60" i="14"/>
  <c r="E60" i="14" s="1"/>
  <c r="D129" i="14"/>
  <c r="O74" i="3"/>
  <c r="F102" i="14"/>
  <c r="E102" i="14" s="1"/>
  <c r="N155" i="3"/>
  <c r="O155" i="3" s="1"/>
  <c r="R71" i="3"/>
  <c r="Q152" i="3"/>
  <c r="R152" i="3" s="1"/>
  <c r="F134" i="14"/>
  <c r="E134" i="14" s="1"/>
  <c r="E68" i="3"/>
  <c r="F26" i="14"/>
  <c r="E26" i="14" s="1"/>
  <c r="I68" i="3"/>
  <c r="H149" i="3"/>
  <c r="O75" i="3"/>
  <c r="N156" i="3"/>
  <c r="O156" i="3" s="1"/>
  <c r="F103" i="14"/>
  <c r="E103" i="14" s="1"/>
  <c r="F66" i="14"/>
  <c r="E66" i="14" s="1"/>
  <c r="K154" i="3"/>
  <c r="L154" i="3" s="1"/>
  <c r="L73" i="3"/>
  <c r="R69" i="3"/>
  <c r="Q150" i="3"/>
  <c r="R150" i="3" s="1"/>
  <c r="F132" i="14"/>
  <c r="E132" i="14" s="1"/>
  <c r="N151" i="3"/>
  <c r="O151" i="3" s="1"/>
  <c r="F98" i="14"/>
  <c r="E98" i="14" s="1"/>
  <c r="O70" i="3"/>
  <c r="I148" i="3"/>
  <c r="F68" i="14"/>
  <c r="E68" i="14" s="1"/>
  <c r="L75" i="3"/>
  <c r="K156" i="3"/>
  <c r="L156" i="3" s="1"/>
  <c r="D59" i="14"/>
  <c r="Q149" i="3"/>
  <c r="R149" i="3" s="1"/>
  <c r="F131" i="14"/>
  <c r="E131" i="14" s="1"/>
  <c r="R68" i="3"/>
  <c r="E142" i="3" l="1"/>
  <c r="I142" i="3"/>
  <c r="F142" i="3" s="1"/>
  <c r="H110" i="3"/>
  <c r="F80" i="3"/>
  <c r="D7" i="4"/>
  <c r="U7" i="4"/>
  <c r="I101" i="3"/>
  <c r="F101" i="3" s="1"/>
  <c r="E101" i="3"/>
  <c r="D8" i="14"/>
  <c r="F130" i="3"/>
  <c r="U6" i="6"/>
  <c r="S6" i="6"/>
  <c r="J5" i="4"/>
  <c r="V5" i="6"/>
  <c r="H12" i="3"/>
  <c r="H143" i="3" s="1"/>
  <c r="R10" i="4" s="1"/>
  <c r="H122" i="3"/>
  <c r="H102" i="3"/>
  <c r="I11" i="3"/>
  <c r="F11" i="3" s="1"/>
  <c r="E11" i="3"/>
  <c r="H132" i="3"/>
  <c r="D19" i="14"/>
  <c r="H82" i="3"/>
  <c r="F120" i="3"/>
  <c r="R7" i="6"/>
  <c r="F108" i="3"/>
  <c r="I81" i="3"/>
  <c r="H91" i="3"/>
  <c r="E81" i="3"/>
  <c r="S7" i="4"/>
  <c r="I90" i="3"/>
  <c r="E90" i="3"/>
  <c r="O7" i="4" s="1"/>
  <c r="P7" i="4" s="1"/>
  <c r="E109" i="3"/>
  <c r="I6" i="4" s="1"/>
  <c r="J6" i="4" s="1"/>
  <c r="I109" i="3"/>
  <c r="F109" i="3" s="1"/>
  <c r="I121" i="3"/>
  <c r="E121" i="3"/>
  <c r="I131" i="3"/>
  <c r="F131" i="3" s="1"/>
  <c r="E131" i="3"/>
  <c r="C8" i="4" s="1"/>
  <c r="C5" i="2"/>
  <c r="F100" i="3"/>
  <c r="D60" i="14"/>
  <c r="D63" i="14"/>
  <c r="D98" i="14"/>
  <c r="D103" i="14"/>
  <c r="D134" i="14"/>
  <c r="D101" i="14"/>
  <c r="D133" i="14"/>
  <c r="D130" i="14"/>
  <c r="D97" i="14"/>
  <c r="F67" i="3"/>
  <c r="D96" i="14"/>
  <c r="F23" i="20"/>
  <c r="F19" i="20" s="1"/>
  <c r="F15" i="20" s="1"/>
  <c r="R23" i="20"/>
  <c r="R19" i="20" s="1"/>
  <c r="R15" i="20" s="1"/>
  <c r="D26" i="14"/>
  <c r="D95" i="14"/>
  <c r="D100" i="14"/>
  <c r="E148" i="3"/>
  <c r="L5" i="4" s="1"/>
  <c r="X5" i="4" s="1"/>
  <c r="S23" i="20"/>
  <c r="S19" i="20" s="1"/>
  <c r="S15" i="20" s="1"/>
  <c r="D132" i="14"/>
  <c r="D64" i="14"/>
  <c r="G23" i="20"/>
  <c r="G19" i="20" s="1"/>
  <c r="G15" i="20" s="1"/>
  <c r="D137" i="14"/>
  <c r="D138" i="14"/>
  <c r="D65" i="14"/>
  <c r="D136" i="14"/>
  <c r="D61" i="14"/>
  <c r="E149" i="3"/>
  <c r="L6" i="4" s="1"/>
  <c r="I149" i="3"/>
  <c r="F149" i="3" s="1"/>
  <c r="D67" i="14"/>
  <c r="F147" i="3"/>
  <c r="Q23" i="20"/>
  <c r="Q19" i="20" s="1"/>
  <c r="Q15" i="20" s="1"/>
  <c r="E23" i="20"/>
  <c r="E19" i="20" s="1"/>
  <c r="E15" i="20" s="1"/>
  <c r="D66" i="14"/>
  <c r="D68" i="14"/>
  <c r="D102" i="14"/>
  <c r="D99" i="14"/>
  <c r="M4" i="4"/>
  <c r="I69" i="3"/>
  <c r="F69" i="3" s="1"/>
  <c r="F27" i="14"/>
  <c r="E27" i="14" s="1"/>
  <c r="H150" i="3"/>
  <c r="E69" i="3"/>
  <c r="D131" i="14"/>
  <c r="F148" i="3"/>
  <c r="F68" i="3"/>
  <c r="D135" i="14"/>
  <c r="D62" i="14"/>
  <c r="I143" i="3" l="1"/>
  <c r="F143" i="3" s="1"/>
  <c r="E143" i="3"/>
  <c r="X6" i="4"/>
  <c r="F121" i="3"/>
  <c r="R8" i="6"/>
  <c r="U8" i="4"/>
  <c r="V8" i="4" s="1"/>
  <c r="D8" i="4"/>
  <c r="V7" i="4"/>
  <c r="F90" i="3"/>
  <c r="C6" i="2"/>
  <c r="D6" i="2" s="1"/>
  <c r="I6" i="2" s="1"/>
  <c r="V6" i="6"/>
  <c r="F81" i="3"/>
  <c r="H111" i="3"/>
  <c r="H92" i="3"/>
  <c r="I82" i="3"/>
  <c r="E82" i="3"/>
  <c r="H13" i="3"/>
  <c r="H144" i="3" s="1"/>
  <c r="R11" i="4" s="1"/>
  <c r="H123" i="3"/>
  <c r="I12" i="3"/>
  <c r="F12" i="3" s="1"/>
  <c r="H103" i="3"/>
  <c r="E12" i="3"/>
  <c r="H133" i="3"/>
  <c r="H83" i="3"/>
  <c r="D20" i="14"/>
  <c r="I122" i="3"/>
  <c r="E122" i="3"/>
  <c r="S8" i="4"/>
  <c r="E91" i="3"/>
  <c r="O8" i="4" s="1"/>
  <c r="P8" i="4" s="1"/>
  <c r="I91" i="3"/>
  <c r="F91" i="3" s="1"/>
  <c r="E110" i="3"/>
  <c r="I7" i="4" s="1"/>
  <c r="I110" i="3"/>
  <c r="F110" i="3" s="1"/>
  <c r="D9" i="14"/>
  <c r="E102" i="3"/>
  <c r="I102" i="3"/>
  <c r="S7" i="6"/>
  <c r="U7" i="6"/>
  <c r="V7" i="6" s="1"/>
  <c r="D5" i="2"/>
  <c r="I132" i="3"/>
  <c r="F132" i="3" s="1"/>
  <c r="E132" i="3"/>
  <c r="C9" i="4" s="1"/>
  <c r="M5" i="4"/>
  <c r="E150" i="3"/>
  <c r="L7" i="4" s="1"/>
  <c r="I150" i="3"/>
  <c r="D27" i="14"/>
  <c r="F4" i="2"/>
  <c r="Y4" i="4"/>
  <c r="B8" i="31" s="1"/>
  <c r="E70" i="3"/>
  <c r="I70" i="3"/>
  <c r="F70" i="3" s="1"/>
  <c r="F28" i="14"/>
  <c r="E28" i="14" s="1"/>
  <c r="H151" i="3"/>
  <c r="M6" i="4"/>
  <c r="Y5" i="4"/>
  <c r="B9" i="31" s="1"/>
  <c r="F5" i="2"/>
  <c r="G5" i="2" s="1"/>
  <c r="J5" i="2" s="1"/>
  <c r="E144" i="3" l="1"/>
  <c r="I144" i="3"/>
  <c r="F144" i="3" s="1"/>
  <c r="X7" i="4"/>
  <c r="I103" i="3"/>
  <c r="F103" i="3" s="1"/>
  <c r="D10" i="14"/>
  <c r="E103" i="3"/>
  <c r="E111" i="3"/>
  <c r="I8" i="4" s="1"/>
  <c r="J8" i="4" s="1"/>
  <c r="I111" i="3"/>
  <c r="I5" i="2"/>
  <c r="R9" i="6"/>
  <c r="F122" i="3"/>
  <c r="S8" i="6"/>
  <c r="U8" i="6"/>
  <c r="I123" i="3"/>
  <c r="E123" i="3"/>
  <c r="H14" i="3"/>
  <c r="H145" i="3" s="1"/>
  <c r="R12" i="4" s="1"/>
  <c r="H104" i="3"/>
  <c r="H124" i="3"/>
  <c r="I13" i="3"/>
  <c r="F13" i="3" s="1"/>
  <c r="H134" i="3"/>
  <c r="E13" i="3"/>
  <c r="H84" i="3"/>
  <c r="D21" i="14"/>
  <c r="J7" i="4"/>
  <c r="I83" i="3"/>
  <c r="E83" i="3"/>
  <c r="H93" i="3"/>
  <c r="C7" i="2"/>
  <c r="U9" i="4"/>
  <c r="D9" i="4"/>
  <c r="F102" i="3"/>
  <c r="E133" i="3"/>
  <c r="C10" i="4" s="1"/>
  <c r="I133" i="3"/>
  <c r="F82" i="3"/>
  <c r="H112" i="3"/>
  <c r="S9" i="4"/>
  <c r="I92" i="3"/>
  <c r="E92" i="3"/>
  <c r="O9" i="4" s="1"/>
  <c r="P9" i="4" s="1"/>
  <c r="Y6" i="4"/>
  <c r="B10" i="31" s="1"/>
  <c r="F6" i="2"/>
  <c r="G6" i="2" s="1"/>
  <c r="J6" i="2" s="1"/>
  <c r="F150" i="3"/>
  <c r="C8" i="31"/>
  <c r="G4" i="2"/>
  <c r="E151" i="3"/>
  <c r="L8" i="4" s="1"/>
  <c r="I151" i="3"/>
  <c r="F151" i="3" s="1"/>
  <c r="D28" i="14"/>
  <c r="M7" i="4"/>
  <c r="I71" i="3"/>
  <c r="F71" i="3" s="1"/>
  <c r="F29" i="14"/>
  <c r="E29" i="14" s="1"/>
  <c r="H152" i="3"/>
  <c r="E71" i="3"/>
  <c r="I145" i="3" l="1"/>
  <c r="F145" i="3" s="1"/>
  <c r="E145" i="3"/>
  <c r="X8" i="4"/>
  <c r="F92" i="3"/>
  <c r="U10" i="4"/>
  <c r="V10" i="4" s="1"/>
  <c r="D10" i="4"/>
  <c r="R10" i="6"/>
  <c r="F123" i="3"/>
  <c r="F111" i="3"/>
  <c r="S10" i="4"/>
  <c r="I93" i="3"/>
  <c r="F93" i="3" s="1"/>
  <c r="E93" i="3"/>
  <c r="O10" i="4" s="1"/>
  <c r="I134" i="3"/>
  <c r="F134" i="3" s="1"/>
  <c r="E134" i="3"/>
  <c r="C11" i="4" s="1"/>
  <c r="I104" i="3"/>
  <c r="D11" i="14"/>
  <c r="E104" i="3"/>
  <c r="E112" i="3"/>
  <c r="I9" i="4" s="1"/>
  <c r="I112" i="3"/>
  <c r="U9" i="6"/>
  <c r="V9" i="6" s="1"/>
  <c r="S9" i="6"/>
  <c r="F83" i="3"/>
  <c r="H113" i="3"/>
  <c r="E124" i="3"/>
  <c r="I124" i="3"/>
  <c r="H15" i="3"/>
  <c r="H146" i="3" s="1"/>
  <c r="R13" i="4" s="1"/>
  <c r="D22" i="14"/>
  <c r="H125" i="3"/>
  <c r="I14" i="3"/>
  <c r="F14" i="3" s="1"/>
  <c r="H105" i="3"/>
  <c r="E14" i="3"/>
  <c r="H135" i="3"/>
  <c r="H85" i="3"/>
  <c r="C8" i="2"/>
  <c r="D8" i="2" s="1"/>
  <c r="I8" i="2" s="1"/>
  <c r="V8" i="6"/>
  <c r="V9" i="4"/>
  <c r="F133" i="3"/>
  <c r="D7" i="2"/>
  <c r="I84" i="3"/>
  <c r="H94" i="3"/>
  <c r="E84" i="3"/>
  <c r="D29" i="14"/>
  <c r="C9" i="31"/>
  <c r="H153" i="3"/>
  <c r="I72" i="3"/>
  <c r="F72" i="3" s="1"/>
  <c r="F30" i="14"/>
  <c r="E30" i="14" s="1"/>
  <c r="E72" i="3"/>
  <c r="I152" i="3"/>
  <c r="E152" i="3"/>
  <c r="L9" i="4" s="1"/>
  <c r="F7" i="2"/>
  <c r="Y7" i="4"/>
  <c r="B11" i="31" s="1"/>
  <c r="M8" i="4"/>
  <c r="J4" i="2"/>
  <c r="D30" i="14" l="1"/>
  <c r="I146" i="3"/>
  <c r="F146" i="3" s="1"/>
  <c r="E146" i="3"/>
  <c r="X9" i="4"/>
  <c r="C9" i="2"/>
  <c r="D9" i="2" s="1"/>
  <c r="I9" i="2" s="1"/>
  <c r="E105" i="3"/>
  <c r="I105" i="3"/>
  <c r="F105" i="3" s="1"/>
  <c r="D12" i="14"/>
  <c r="I7" i="2"/>
  <c r="F104" i="3"/>
  <c r="R11" i="6"/>
  <c r="F124" i="3"/>
  <c r="U11" i="4"/>
  <c r="D11" i="4"/>
  <c r="U10" i="6"/>
  <c r="S10" i="6"/>
  <c r="F112" i="3"/>
  <c r="S11" i="4"/>
  <c r="I94" i="3"/>
  <c r="F94" i="3" s="1"/>
  <c r="E94" i="3"/>
  <c r="O11" i="4" s="1"/>
  <c r="P11" i="4" s="1"/>
  <c r="H95" i="3"/>
  <c r="I85" i="3"/>
  <c r="E85" i="3"/>
  <c r="R14" i="4"/>
  <c r="H106" i="3"/>
  <c r="E15" i="3"/>
  <c r="I15" i="3"/>
  <c r="F15" i="3" s="1"/>
  <c r="H126" i="3"/>
  <c r="H136" i="3"/>
  <c r="H86" i="3"/>
  <c r="D23" i="14"/>
  <c r="E113" i="3"/>
  <c r="I10" i="4" s="1"/>
  <c r="J10" i="4" s="1"/>
  <c r="I113" i="3"/>
  <c r="F113" i="3" s="1"/>
  <c r="J9" i="4"/>
  <c r="H114" i="3"/>
  <c r="F84" i="3"/>
  <c r="I125" i="3"/>
  <c r="E125" i="3"/>
  <c r="E135" i="3"/>
  <c r="C12" i="4" s="1"/>
  <c r="I135" i="3"/>
  <c r="P10" i="4"/>
  <c r="K4" i="2"/>
  <c r="F31" i="14"/>
  <c r="E31" i="14" s="1"/>
  <c r="E73" i="3"/>
  <c r="H154" i="3"/>
  <c r="I73" i="3"/>
  <c r="F73" i="3" s="1"/>
  <c r="I153" i="3"/>
  <c r="F153" i="3" s="1"/>
  <c r="E153" i="3"/>
  <c r="L10" i="4" s="1"/>
  <c r="G7" i="2"/>
  <c r="C10" i="31"/>
  <c r="M9" i="4"/>
  <c r="F152" i="3"/>
  <c r="Y8" i="4"/>
  <c r="B12" i="31" s="1"/>
  <c r="F8" i="2"/>
  <c r="G8" i="2" s="1"/>
  <c r="J8" i="2" s="1"/>
  <c r="X10" i="4" l="1"/>
  <c r="E106" i="3"/>
  <c r="I106" i="3"/>
  <c r="D13" i="14"/>
  <c r="H96" i="3"/>
  <c r="E86" i="3"/>
  <c r="I86" i="3"/>
  <c r="F85" i="3"/>
  <c r="H115" i="3"/>
  <c r="E126" i="3"/>
  <c r="I126" i="3"/>
  <c r="C10" i="2"/>
  <c r="V10" i="6"/>
  <c r="I114" i="3"/>
  <c r="E114" i="3"/>
  <c r="I11" i="4" s="1"/>
  <c r="J11" i="4" s="1"/>
  <c r="I136" i="3"/>
  <c r="F136" i="3" s="1"/>
  <c r="E136" i="3"/>
  <c r="C13" i="4" s="1"/>
  <c r="U11" i="6"/>
  <c r="V11" i="6" s="1"/>
  <c r="S11" i="6"/>
  <c r="F135" i="3"/>
  <c r="D12" i="4"/>
  <c r="U12" i="4"/>
  <c r="S12" i="4"/>
  <c r="E95" i="3"/>
  <c r="O12" i="4" s="1"/>
  <c r="P12" i="4" s="1"/>
  <c r="I95" i="3"/>
  <c r="R12" i="6"/>
  <c r="F125" i="3"/>
  <c r="V11" i="4"/>
  <c r="D31" i="14"/>
  <c r="H155" i="3"/>
  <c r="I74" i="3"/>
  <c r="F74" i="3" s="1"/>
  <c r="F32" i="14"/>
  <c r="E32" i="14" s="1"/>
  <c r="E74" i="3"/>
  <c r="Y9" i="4"/>
  <c r="B13" i="31" s="1"/>
  <c r="F9" i="2"/>
  <c r="J7" i="2"/>
  <c r="M10" i="4"/>
  <c r="L4" i="2"/>
  <c r="K5" i="2"/>
  <c r="K6" i="2" s="1"/>
  <c r="C11" i="31"/>
  <c r="I154" i="3"/>
  <c r="E154" i="3"/>
  <c r="L11" i="4" s="1"/>
  <c r="X11" i="4" l="1"/>
  <c r="C11" i="2"/>
  <c r="D11" i="2" s="1"/>
  <c r="I11" i="2" s="1"/>
  <c r="D32" i="14"/>
  <c r="V12" i="4"/>
  <c r="E115" i="3"/>
  <c r="I12" i="4" s="1"/>
  <c r="J12" i="4" s="1"/>
  <c r="I115" i="3"/>
  <c r="F115" i="3" s="1"/>
  <c r="F95" i="3"/>
  <c r="D4" i="20"/>
  <c r="P4" i="20"/>
  <c r="P17" i="20"/>
  <c r="F114" i="3"/>
  <c r="H116" i="3"/>
  <c r="F86" i="3"/>
  <c r="S13" i="4"/>
  <c r="E96" i="3"/>
  <c r="O13" i="4" s="1"/>
  <c r="I96" i="3"/>
  <c r="F96" i="3" s="1"/>
  <c r="F126" i="3"/>
  <c r="R13" i="6"/>
  <c r="F106" i="3"/>
  <c r="P22" i="20"/>
  <c r="U22" i="20" s="1"/>
  <c r="S12" i="6"/>
  <c r="U12" i="6"/>
  <c r="V12" i="6" s="1"/>
  <c r="D17" i="20"/>
  <c r="D10" i="2"/>
  <c r="D13" i="4"/>
  <c r="U13" i="4"/>
  <c r="C14" i="4"/>
  <c r="L5" i="2"/>
  <c r="L6" i="2" s="1"/>
  <c r="M11" i="4"/>
  <c r="C12" i="31"/>
  <c r="G9" i="2"/>
  <c r="K7" i="2"/>
  <c r="K8" i="2" s="1"/>
  <c r="F33" i="14"/>
  <c r="E33" i="14" s="1"/>
  <c r="H156" i="3"/>
  <c r="E75" i="3"/>
  <c r="I75" i="3"/>
  <c r="F75" i="3" s="1"/>
  <c r="F154" i="3"/>
  <c r="F10" i="2"/>
  <c r="G10" i="2" s="1"/>
  <c r="J10" i="2" s="1"/>
  <c r="Y10" i="4"/>
  <c r="B14" i="31" s="1"/>
  <c r="E155" i="3"/>
  <c r="L12" i="4" s="1"/>
  <c r="I155" i="3"/>
  <c r="F155" i="3" s="1"/>
  <c r="X12" i="4" l="1"/>
  <c r="P21" i="20"/>
  <c r="U21" i="20" s="1"/>
  <c r="I10" i="2"/>
  <c r="I17" i="20"/>
  <c r="D16" i="20"/>
  <c r="I16" i="20" s="1"/>
  <c r="D21" i="20"/>
  <c r="I21" i="20" s="1"/>
  <c r="U17" i="20"/>
  <c r="P16" i="20"/>
  <c r="U16" i="20" s="1"/>
  <c r="P13" i="4"/>
  <c r="O14" i="4"/>
  <c r="S15" i="4"/>
  <c r="S14" i="4"/>
  <c r="D3" i="20"/>
  <c r="I3" i="20" s="1"/>
  <c r="I4" i="20"/>
  <c r="C12" i="2"/>
  <c r="D14" i="4"/>
  <c r="D15" i="4"/>
  <c r="S13" i="6"/>
  <c r="U13" i="6"/>
  <c r="R14" i="6"/>
  <c r="U4" i="20"/>
  <c r="P3" i="20"/>
  <c r="U3" i="20" s="1"/>
  <c r="V13" i="4"/>
  <c r="U14" i="4"/>
  <c r="I116" i="3"/>
  <c r="E116" i="3"/>
  <c r="I13" i="4" s="1"/>
  <c r="L7" i="2"/>
  <c r="L8" i="2" s="1"/>
  <c r="C13" i="31"/>
  <c r="I156" i="3"/>
  <c r="F156" i="3" s="1"/>
  <c r="E156" i="3"/>
  <c r="L13" i="4" s="1"/>
  <c r="D33" i="14"/>
  <c r="Y11" i="4"/>
  <c r="B15" i="31" s="1"/>
  <c r="F11" i="2"/>
  <c r="G11" i="2" s="1"/>
  <c r="J11" i="2" s="1"/>
  <c r="M12" i="4"/>
  <c r="J9" i="2"/>
  <c r="X13" i="4" l="1"/>
  <c r="V14" i="4"/>
  <c r="V15" i="4"/>
  <c r="D12" i="2"/>
  <c r="C13" i="2"/>
  <c r="D13" i="2" s="1"/>
  <c r="I13" i="2" s="1"/>
  <c r="V13" i="6"/>
  <c r="U14" i="6"/>
  <c r="J13" i="4"/>
  <c r="I14" i="4"/>
  <c r="S14" i="6"/>
  <c r="S15" i="6"/>
  <c r="F116" i="3"/>
  <c r="D20" i="20"/>
  <c r="I20" i="20" s="1"/>
  <c r="P20" i="20"/>
  <c r="U20" i="20" s="1"/>
  <c r="P15" i="4"/>
  <c r="P14" i="4"/>
  <c r="F12" i="2"/>
  <c r="Y12" i="4"/>
  <c r="B16" i="31" s="1"/>
  <c r="C14" i="31"/>
  <c r="P23" i="20"/>
  <c r="K9" i="2"/>
  <c r="D23" i="20"/>
  <c r="M13" i="4"/>
  <c r="L14" i="4"/>
  <c r="C14" i="2" l="1"/>
  <c r="J15" i="4"/>
  <c r="J14" i="4"/>
  <c r="V15" i="6"/>
  <c r="V14" i="6"/>
  <c r="B3" i="31" s="1"/>
  <c r="C3" i="31" s="1"/>
  <c r="I12" i="2"/>
  <c r="I14" i="2" s="1"/>
  <c r="J21" i="2" s="1"/>
  <c r="D14" i="2"/>
  <c r="L9" i="2"/>
  <c r="K10" i="2"/>
  <c r="K11" i="2" s="1"/>
  <c r="P19" i="20"/>
  <c r="U23" i="20"/>
  <c r="C15" i="31"/>
  <c r="F13" i="2"/>
  <c r="G13" i="2" s="1"/>
  <c r="J13" i="2" s="1"/>
  <c r="Y13" i="4"/>
  <c r="B17" i="31" s="1"/>
  <c r="B18" i="31" s="1"/>
  <c r="X14" i="4"/>
  <c r="M15" i="4"/>
  <c r="M14" i="4"/>
  <c r="G12" i="2"/>
  <c r="D19" i="20"/>
  <c r="I23" i="20"/>
  <c r="D8" i="31" l="1"/>
  <c r="D9" i="31" s="1"/>
  <c r="D10" i="31" s="1"/>
  <c r="D11" i="31" s="1"/>
  <c r="L10" i="2"/>
  <c r="L11" i="2" s="1"/>
  <c r="Y15" i="4"/>
  <c r="J17" i="2" s="1"/>
  <c r="B2" i="7" s="1"/>
  <c r="Y14" i="4"/>
  <c r="U19" i="20"/>
  <c r="P15" i="20"/>
  <c r="U15" i="20" s="1"/>
  <c r="D15" i="20"/>
  <c r="I15" i="20" s="1"/>
  <c r="I19" i="20"/>
  <c r="F14" i="2"/>
  <c r="C16" i="31"/>
  <c r="J12" i="2"/>
  <c r="G14" i="2"/>
  <c r="J19" i="2"/>
  <c r="D12" i="31" l="1"/>
  <c r="K12" i="2"/>
  <c r="K13" i="2" s="1"/>
  <c r="J14" i="2"/>
  <c r="C17" i="31"/>
  <c r="I7" i="7"/>
  <c r="C42" i="7"/>
  <c r="C26" i="7"/>
  <c r="O7" i="7"/>
  <c r="F7" i="7"/>
  <c r="L7" i="7"/>
  <c r="R7" i="7"/>
  <c r="C7" i="7"/>
  <c r="D13" i="31" l="1"/>
  <c r="L12" i="2"/>
  <c r="L13" i="2" s="1"/>
  <c r="K14" i="2"/>
  <c r="J22" i="2"/>
  <c r="D14" i="31" l="1"/>
  <c r="D15" i="31" l="1"/>
  <c r="D16" i="31" s="1"/>
  <c r="D17" i="31" s="1"/>
</calcChain>
</file>

<file path=xl/comments1.xml><?xml version="1.0" encoding="utf-8"?>
<comments xmlns="http://schemas.openxmlformats.org/spreadsheetml/2006/main">
  <authors>
    <author>VLK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http://www.informatizacia.sk/ext_dok-opii-usmernenie-k-cba---agendove-is-20/27277c</t>
        </r>
      </text>
    </comment>
  </commentList>
</comments>
</file>

<file path=xl/comments2.xml><?xml version="1.0" encoding="utf-8"?>
<comments xmlns="http://schemas.openxmlformats.org/spreadsheetml/2006/main">
  <authors>
    <author>VLK</author>
  </authors>
  <commentList>
    <comment ref="D4" authorId="0" shapeId="0">
      <text>
        <r>
          <rPr>
            <sz val="8"/>
            <color indexed="81"/>
            <rFont val="Tahoma"/>
            <family val="2"/>
            <charset val="238"/>
          </rPr>
          <t>Parametre - Agendové IS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38"/>
          </rPr>
          <t>TCO ToBe</t>
        </r>
      </text>
    </comment>
  </commentList>
</comments>
</file>

<file path=xl/comments3.xml><?xml version="1.0" encoding="utf-8"?>
<comments xmlns="http://schemas.openxmlformats.org/spreadsheetml/2006/main">
  <authors>
    <author>KPMG</author>
  </authors>
  <commentList>
    <comment ref="I14" authorId="0" shape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4.xml><?xml version="1.0" encoding="utf-8"?>
<comments xmlns="http://schemas.openxmlformats.org/spreadsheetml/2006/main">
  <authors>
    <author>VLK</author>
  </authors>
  <commentList>
    <comment ref="B3" authorId="0" shapeId="0">
      <text>
        <r>
          <rPr>
            <sz val="8"/>
            <color indexed="81"/>
            <rFont val="Tahoma"/>
            <family val="2"/>
            <charset val="238"/>
          </rPr>
          <t>Parametre</t>
        </r>
      </text>
    </comment>
  </commentList>
</comments>
</file>

<file path=xl/comments5.xml><?xml version="1.0" encoding="utf-8"?>
<comments xmlns="http://schemas.openxmlformats.org/spreadsheetml/2006/main">
  <authors>
    <author>VLK</author>
  </authors>
  <commentList>
    <comment ref="A16" authorId="0" shapeId="0">
      <text>
        <r>
          <rPr>
            <b/>
            <sz val="8"/>
            <color indexed="81"/>
            <rFont val="Tahoma"/>
            <family val="2"/>
            <charset val="238"/>
          </rPr>
          <t>EY:</t>
        </r>
        <r>
          <rPr>
            <sz val="8"/>
            <color indexed="81"/>
            <rFont val="Tahoma"/>
            <family val="2"/>
            <charset val="238"/>
          </rPr>
          <t xml:space="preserve">
Ročný počet vydaných správ a rozhodnutí je nízky (nevýznamný) k materiálovým nákladom a neovplyvní CBA.</t>
        </r>
      </text>
    </comment>
  </commentList>
</comments>
</file>

<file path=xl/comments6.xml><?xml version="1.0" encoding="utf-8"?>
<comments xmlns="http://schemas.openxmlformats.org/spreadsheetml/2006/main">
  <authors>
    <author>Krok Martin</author>
  </authors>
  <commentList>
    <comment ref="AG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<sst xmlns="http://schemas.openxmlformats.org/spreadsheetml/2006/main" count="3366" uniqueCount="599">
  <si>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</si>
  <si>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</si>
  <si>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</si>
  <si>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</si>
  <si>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</si>
  <si>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</si>
  <si>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</si>
  <si>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</si>
  <si>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</si>
  <si>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</si>
  <si>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</si>
  <si>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</si>
  <si>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</si>
  <si>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</si>
  <si>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</si>
  <si>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</si>
  <si>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</si>
  <si>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</si>
  <si>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</si>
  <si>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</si>
  <si>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</si>
  <si>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</si>
  <si>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</si>
  <si>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</si>
  <si>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</si>
  <si>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</si>
  <si>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</si>
  <si>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</si>
  <si>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</si>
  <si>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</si>
  <si>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</si>
  <si>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</si>
  <si>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</si>
  <si>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</si>
  <si>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</si>
  <si>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</si>
  <si>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</si>
  <si>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</si>
  <si>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</si>
  <si>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</si>
  <si>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</si>
  <si>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</si>
  <si>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</si>
  <si>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</si>
  <si>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</si>
  <si>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</si>
  <si>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</si>
  <si>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</si>
  <si>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</si>
  <si>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</si>
  <si>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</si>
  <si>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</si>
  <si>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</si>
  <si>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</si>
  <si>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</si>
  <si>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</si>
  <si>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</si>
  <si>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</si>
  <si>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</si>
  <si>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</si>
  <si>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</si>
  <si>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</si>
  <si>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</si>
  <si>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</si>
  <si>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</si>
  <si>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</si>
  <si>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</si>
  <si>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</si>
  <si>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</si>
  <si>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</si>
  <si>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</si>
  <si>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</si>
  <si>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</si>
  <si>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</si>
  <si>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</si>
  <si>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</si>
  <si>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</si>
  <si>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</si>
  <si>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</si>
  <si>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</si>
  <si>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</si>
  <si>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</si>
  <si>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</si>
  <si>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</si>
  <si>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</si>
  <si>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</si>
  <si>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</si>
  <si>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</si>
  <si>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</si>
  <si>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</si>
  <si>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</si>
  <si>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</si>
  <si>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</si>
  <si>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</si>
  <si>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</si>
  <si>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</si>
  <si>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</si>
  <si>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</si>
  <si>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</si>
  <si>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</si>
  <si>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</si>
  <si>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</si>
  <si>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</si>
  <si>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</si>
  <si>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</si>
  <si>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</si>
  <si>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</si>
  <si>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</si>
  <si>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</si>
  <si>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</si>
  <si>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</si>
  <si>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</si>
  <si>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</si>
  <si>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</si>
  <si>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</si>
  <si>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</si>
  <si>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</si>
  <si>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</si>
  <si>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</si>
  <si>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</si>
  <si>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</si>
  <si>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</si>
  <si>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</si>
  <si>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</si>
  <si>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</si>
  <si>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</si>
  <si>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</si>
  <si>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</si>
  <si>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</si>
  <si>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</si>
  <si>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</si>
  <si>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</si>
  <si>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</si>
  <si>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</si>
  <si>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</si>
  <si>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</si>
  <si>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</si>
  <si>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</si>
  <si>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</si>
  <si>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</si>
  <si>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</si>
  <si>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</si>
  <si>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</si>
  <si>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</si>
  <si>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</si>
  <si>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</si>
  <si>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</si>
  <si>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</si>
  <si>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Suma interné</t>
  </si>
  <si>
    <t>Suma externé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</si>
  <si>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</si>
  <si>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</si>
  <si>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</si>
  <si>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</si>
  <si>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</si>
  <si>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</si>
  <si>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</si>
  <si>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</si>
  <si>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</si>
  <si>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</si>
  <si>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</si>
  <si>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</si>
  <si>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</si>
  <si>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</si>
  <si>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</si>
  <si>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</si>
  <si>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</si>
  <si>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</si>
  <si>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</si>
  <si>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</si>
  <si>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</si>
  <si>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</si>
  <si>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</si>
  <si>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</si>
  <si>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</si>
  <si>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</si>
  <si>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</si>
  <si>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</si>
  <si>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</si>
  <si>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</si>
  <si>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</si>
  <si>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</si>
  <si>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</si>
  <si>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</si>
  <si>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</si>
  <si>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</si>
  <si>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</si>
  <si>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</si>
  <si>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</si>
  <si>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</si>
  <si>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</si>
  <si>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</si>
  <si>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</si>
  <si>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</si>
  <si>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</si>
  <si>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</si>
  <si>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</si>
  <si>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</si>
  <si>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</si>
  <si>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</si>
  <si>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</si>
  <si>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</si>
  <si>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</si>
  <si>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</si>
  <si>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</si>
  <si>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</si>
  <si>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</si>
  <si>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</si>
  <si>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</si>
  <si>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</si>
  <si>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</si>
  <si>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</si>
  <si>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</si>
  <si>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</si>
  <si>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</si>
  <si>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</si>
  <si>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</si>
  <si>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Meranie č. 1</t>
  </si>
  <si>
    <t>Meranie č. 2</t>
  </si>
  <si>
    <t>Meranie č. 3</t>
  </si>
  <si>
    <t>Meranie č. 4</t>
  </si>
  <si>
    <t>Meranie č. 5</t>
  </si>
  <si>
    <t>Meranie č. 6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</si>
  <si>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</si>
  <si>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</si>
  <si>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</si>
  <si>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</si>
  <si>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</si>
  <si>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</si>
  <si>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</si>
  <si>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</si>
  <si>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</si>
  <si>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</si>
  <si>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</si>
  <si>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</si>
  <si>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</si>
  <si>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</si>
  <si>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</si>
  <si>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</si>
  <si>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</si>
  <si>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</si>
  <si>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</si>
  <si>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</si>
  <si>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</si>
  <si>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</si>
  <si>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</si>
  <si>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</si>
  <si>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</si>
  <si>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</si>
  <si>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</si>
  <si>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</si>
  <si>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</si>
  <si>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</si>
  <si>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</si>
  <si>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</si>
  <si>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</si>
  <si>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</si>
  <si>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</si>
  <si>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</si>
  <si>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</si>
  <si>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</si>
  <si>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</si>
  <si>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</si>
  <si>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</si>
  <si>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</si>
  <si>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</si>
  <si>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</si>
  <si>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</si>
  <si>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</si>
  <si>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</si>
  <si>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</si>
  <si>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</si>
  <si>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</si>
  <si>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</si>
  <si>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</si>
  <si>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</si>
  <si>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</si>
  <si>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</si>
  <si>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</si>
  <si>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</si>
  <si>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</si>
  <si>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</si>
  <si>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</si>
  <si>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</si>
  <si>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</si>
  <si>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</si>
  <si>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</si>
  <si>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</si>
  <si>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</si>
  <si>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</si>
  <si>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</si>
  <si>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</si>
  <si>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</si>
  <si>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</si>
  <si>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</si>
  <si>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</si>
  <si>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</si>
  <si>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</si>
  <si>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</si>
  <si>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</si>
  <si>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</si>
  <si>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</si>
  <si>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</si>
  <si>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</si>
  <si>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</si>
  <si>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</si>
  <si>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</si>
  <si>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</si>
  <si>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</si>
  <si>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</si>
  <si>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</si>
  <si>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</si>
  <si>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</si>
  <si>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</si>
  <si>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</si>
  <si>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</si>
  <si>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</si>
  <si>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</si>
  <si>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</si>
  <si>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Zefektívnenie štátneho dozoru v starostlivosti o životné prostredie</t>
  </si>
  <si>
    <t>Slovenská inšpekcia životného prostredia</t>
  </si>
  <si>
    <t>www.sizp.sk</t>
  </si>
  <si>
    <t>00156906</t>
  </si>
  <si>
    <t>Ernst &amp; Young, s.r.o.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</si>
  <si>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>(napr. Poštovné (0,83 EUR)+Tlač (0,02 EUR)+Papier (0,01 EUR)+Obálka (0,03 EUR). Zhotoviteľ štúdie doplní skutočné náklady)</t>
    </r>
  </si>
  <si>
    <t>Viď osobitná príloha</t>
  </si>
  <si>
    <t>Počet kontrol</t>
  </si>
  <si>
    <t>Priemerný evidenčný stav inšpektorov v r. 2017</t>
  </si>
  <si>
    <t>NA</t>
  </si>
  <si>
    <t>HW pre mandátny podpis inšpektora</t>
  </si>
  <si>
    <t>Agendový informačný systém KSED</t>
  </si>
  <si>
    <t>Analýza a návrh</t>
  </si>
  <si>
    <t>Vývoj</t>
  </si>
  <si>
    <t>Testovanie</t>
  </si>
  <si>
    <t>Dokumentácia</t>
  </si>
  <si>
    <t>Nasadenie do rutinnej prevádzky</t>
  </si>
  <si>
    <t>Integračné rozhrania</t>
  </si>
  <si>
    <t>1.</t>
  </si>
  <si>
    <t>1.1</t>
  </si>
  <si>
    <t>1.2</t>
  </si>
  <si>
    <t>1.3</t>
  </si>
  <si>
    <t>1.4</t>
  </si>
  <si>
    <t>1.6</t>
  </si>
  <si>
    <t>2.</t>
  </si>
  <si>
    <t>2.1</t>
  </si>
  <si>
    <t>2.2</t>
  </si>
  <si>
    <t>3.1</t>
  </si>
  <si>
    <t>3.2</t>
  </si>
  <si>
    <t>4.1</t>
  </si>
  <si>
    <t>4.2</t>
  </si>
  <si>
    <t>5.</t>
  </si>
  <si>
    <t>5.1</t>
  </si>
  <si>
    <t>5.2</t>
  </si>
  <si>
    <t>5.3</t>
  </si>
  <si>
    <t>5.4</t>
  </si>
  <si>
    <t>5.5</t>
  </si>
  <si>
    <t>6.</t>
  </si>
  <si>
    <t>6.1</t>
  </si>
  <si>
    <t>Výstup ID</t>
  </si>
  <si>
    <t>Výstup Názov</t>
  </si>
  <si>
    <t>SIŽP</t>
  </si>
  <si>
    <t>Rok 1</t>
  </si>
  <si>
    <t>Rok 2</t>
  </si>
  <si>
    <t>Riadenie kvality projektu</t>
  </si>
  <si>
    <t>711003 Nákup softvéru</t>
  </si>
  <si>
    <t>633013 Softvér</t>
  </si>
  <si>
    <t>637001 Školenia, kurzy, semináre, porady, konferencie, sympóziá</t>
  </si>
  <si>
    <t>635009 Rutinná a štandardná údržba softvéru</t>
  </si>
  <si>
    <t>718006 Rekonštrukcia a modernizácia softvéru</t>
  </si>
  <si>
    <t>637005 Špeciálne služby dodávateľským spôsobom</t>
  </si>
  <si>
    <t>1.1.1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</si>
  <si>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</si>
  <si>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</si>
  <si>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</si>
  <si>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</si>
  <si>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</si>
  <si>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</si>
  <si>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</si>
  <si>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</si>
  <si>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2.2.3</t>
  </si>
  <si>
    <t>2.2.4</t>
  </si>
  <si>
    <t>2.2.5</t>
  </si>
  <si>
    <t>637003 Propagácia, reklama a inzercia / 637004 Všeobecné služby</t>
  </si>
  <si>
    <t>637031 Pokuty a penále</t>
  </si>
  <si>
    <t>Modul</t>
  </si>
  <si>
    <t>713002 Nákup výpočtovej techniky</t>
  </si>
  <si>
    <t>633002 Výpočtová technika</t>
  </si>
  <si>
    <t>635002 Rutinná a štandardná údržba výpočtovej techniky</t>
  </si>
  <si>
    <t>718002 Rekonštrukcia a modernizácia výpočtovej techniky</t>
  </si>
  <si>
    <t>3</t>
  </si>
  <si>
    <t>4</t>
  </si>
  <si>
    <t>žiadne</t>
  </si>
  <si>
    <t>M23</t>
  </si>
  <si>
    <t>Bez projektového riadenia</t>
  </si>
  <si>
    <t>EY: Nevznikakú rozdielové náklady. Zamestanci SIŽP v AsIs aj ToBe sú vybavení PC, obnova aj prevádzka sú hradené z rozpočtu SIŽP.</t>
  </si>
  <si>
    <t>EY: Nevznikajú rozdielové náklady. Aplikácie IS MZV, IS Garbis, IS DKČ a IS IPKZ používa SIŽP bezplatne. Bezplatné je aj virtualizované pripojenie do site ŽPnet cez VMware Horizon a do cloudu MS Azure.</t>
  </si>
  <si>
    <t>2. Povoľovacia činnosť</t>
  </si>
  <si>
    <t>Je potrebné oddeliť prístup používateľov vykonávajúcich povoľovanie od používateľov vykonávajúcich kontrolu</t>
  </si>
  <si>
    <t>Potrebné migrácie z jestvujúcich systémov IS MZV, IS Garbis, IS DKČ, IS IPKZ (databázy kontrol v správe SAŽP, okrem IS DKČ v správe SIŽP)</t>
  </si>
  <si>
    <t>Ročné</t>
  </si>
  <si>
    <t>Kumulované</t>
  </si>
  <si>
    <t>Rok návratnosti</t>
  </si>
  <si>
    <t>Celkové výdavky</t>
  </si>
  <si>
    <t>Výdavky - Agendové IS</t>
  </si>
  <si>
    <t>Upravené konverzným faktorom 1,2</t>
  </si>
  <si>
    <t>Riešenie má spĺňať bezpečnostné štandardy pre vládny cloud</t>
  </si>
  <si>
    <t>id</t>
  </si>
  <si>
    <t>názov</t>
  </si>
  <si>
    <t>popis</t>
  </si>
  <si>
    <t>Modernizácia</t>
  </si>
  <si>
    <t>zoštíhlenie, resp. iný typ vylepšenia existujúceho dizajnu procesov – vynechanie, nahradenie, zlúčenie procesov, aktivít, aktérov a pod.</t>
  </si>
  <si>
    <t>Sfunkčnenie</t>
  </si>
  <si>
    <t>umožnenie vykonať určitú povinnosť (odstránenie nevykonateľnosti)</t>
  </si>
  <si>
    <t>Zjednotenie</t>
  </si>
  <si>
    <t>zaistenie konsolidácie postupov vykonávaných rôznymi inštanciami rovnakého typu aktéra</t>
  </si>
  <si>
    <t>Centralizácia</t>
  </si>
  <si>
    <t xml:space="preserve">zníženie nákladov zavedením spoločnej prevádzky, podpory, metodiky a tiež predpoklad na elimináciu princípu miestnej príslušnosti (súvisí tiež so zjednotením, transparentnosťou a bezpečnosťou) </t>
  </si>
  <si>
    <t>Elektronizácia</t>
  </si>
  <si>
    <t>náhrada „papierových“ údajov (verejné listiny, žiadosti, rozhodnutia a pod.) elektronickými</t>
  </si>
  <si>
    <t>Automatizácia</t>
  </si>
  <si>
    <t>zrýchlenie, zvýšenie spoľahlivosti a kvality (chybovosti) procesov odstránením manuálnych krokov (spracovanie, rozhodovanie)</t>
  </si>
  <si>
    <t>Bezpečnosť</t>
  </si>
  <si>
    <t>schopnosť zaistiť dôvernosť, integritu a dostupnosť procesov a ich údajov</t>
  </si>
  <si>
    <t>Auditovateľnosť</t>
  </si>
  <si>
    <t>schopnosť dodatočne zrekonštruovať priebeh procesu (kto, čo, kedy)</t>
  </si>
  <si>
    <t>Transparentnosť</t>
  </si>
  <si>
    <t>schopnosť dodatočne preukázať, že proces bol vykonaný v súlade s pravidlami a požiadavkami</t>
  </si>
  <si>
    <t>Analyzovatelnosť</t>
  </si>
  <si>
    <t>dostupnosť relevantných údajov a ich spracovanie pre umožnenie informovaného rozhodovania</t>
  </si>
  <si>
    <t>Integrácia</t>
  </si>
  <si>
    <t>elektronické prepojenie systémov na okolitý eGovernment ako aj interne medzi systémami rezortu</t>
  </si>
  <si>
    <t>Proaktivita</t>
  </si>
  <si>
    <t xml:space="preserve">automatické preventívne iniciovanie komunikácie medzi procesom a aktérom – človekom (napr. rôzne notifikácie) </t>
  </si>
  <si>
    <t>Inšpekčná činnosť</t>
  </si>
  <si>
    <t>BVS, a.s., Mimoriadne zhoršenie vôd, 053/015/2016/BA</t>
  </si>
  <si>
    <t>[hod]</t>
  </si>
  <si>
    <t>Inšpekcia ochrany ovzdušia</t>
  </si>
  <si>
    <t>Vypracovanie výstupu z kontroly (protokol, správa)</t>
  </si>
  <si>
    <t>Vypracovanie výstupu z kontroly (záznam, správa)</t>
  </si>
  <si>
    <t>Počet kontrol so zistením</t>
  </si>
  <si>
    <t>Počet kontrol s pokutou</t>
  </si>
  <si>
    <t>Počet kontrol s odvolaním</t>
  </si>
  <si>
    <t>% výskytu činnosti v typickom procese</t>
  </si>
  <si>
    <t>Všetky oblasti inšpekcií spolu</t>
  </si>
  <si>
    <t>Inšpekcia odpadového hospodárstva</t>
  </si>
  <si>
    <t>Inšpekcia ochrany prírody a krajiny</t>
  </si>
  <si>
    <t>Inšpekcia biologickej bezpečnosti</t>
  </si>
  <si>
    <t>Eko-Donau s.r.o., Preverenie legálnosti výrubu drevín, 5442/2018</t>
  </si>
  <si>
    <t>Integrované povoľovanie a kontrola</t>
  </si>
  <si>
    <t>Slovnaft, LDPE4 - Nová výrobnňa polyetylénu, 2370-13658/37/2013/Tot,Heg/370190306</t>
  </si>
  <si>
    <t>Procesy na strane občana / podnikateľa neboli merané. Potenciálne úspory nevstúpili do CBA.</t>
  </si>
  <si>
    <t>Optimalizačné opatrenia</t>
  </si>
  <si>
    <t>A</t>
  </si>
  <si>
    <t>N</t>
  </si>
  <si>
    <t>Vypracovanie zápisnice z prerokovania výstupu z kontroly</t>
  </si>
  <si>
    <t>Zdroj 1</t>
  </si>
  <si>
    <t>Zdroj 2</t>
  </si>
  <si>
    <t>Zdroj 3</t>
  </si>
  <si>
    <t>Zdroj 4</t>
  </si>
  <si>
    <t>Zdroj 5</t>
  </si>
  <si>
    <t>Zdroj 6</t>
  </si>
  <si>
    <t>ρ</t>
  </si>
  <si>
    <t>Trvanie spolu</t>
  </si>
  <si>
    <t>Zvýšenie počtu kontrol vďaka zvýšeniu počtu zamestnancov</t>
  </si>
  <si>
    <t>Počet inšpektorov (bez vedúcich zamestancov)</t>
  </si>
  <si>
    <t>Počet vedúcich zamestancov vykonávajúcich aj inšpekčnú činnosť</t>
  </si>
  <si>
    <t>% využitia času inšpektorov na inšpekčnú činnosť</t>
  </si>
  <si>
    <t>% využitia času týchto vedúcich zamestancov na inšpekčnú činnosť</t>
  </si>
  <si>
    <t>Kapacita inšpektorov</t>
  </si>
  <si>
    <t>Kapacita vedúcich zamestnancov vykonávajúcich aj inšpekčnú činnosť</t>
  </si>
  <si>
    <t>Kapacita spolu</t>
  </si>
  <si>
    <t>Celkový prírastok počtu kontrol</t>
  </si>
  <si>
    <t>Inšpekcia ochrany vôd</t>
  </si>
  <si>
    <t>Za najpresnejšie vyčislenie prínosu z efektívnosti považujeme prínos vychádzajúci z počtu kontrol s pokutou, nakoľko napresnejšie odráža schopnosť SIŽP uložiť pokutu v prípade zistenia. Rozdiel nie je významný.</t>
  </si>
  <si>
    <t>↑ Zmena ENPV v analýze citlivosti</t>
  </si>
  <si>
    <t>Zmena pri analýze citlivosti:</t>
  </si>
  <si>
    <t>Suma pokút uložená v r. 2017 za zistenia r. 2017</t>
  </si>
  <si>
    <t>Rozšírenie funkcionality súčasného registratúrneho systému o podporu workflow pre procesy:</t>
  </si>
  <si>
    <t>1. Výkon kontroly</t>
  </si>
  <si>
    <t>1.1 Aplikácia bude ponúkať predvyplnené šablóny dokumentov používaných v jednotlivých činnostiach (Oznámenie o začatí kontroly, Zoznam podkladov, Zápis z ohliadky, Priebežný/Čiastkový protokol, Záznam, Protokol ,List k zamietnutiu pripomienok, Dodatkový protokol, Zápisnica z prerokovania protokolu, Oznámenie o začatí sankčného konania, Zápisnica z ústneho pojednávania, Rozhodnutie o sankcii, Oznámenie o postúpení odvolania, Predkladacia správa k odvolaniu, Rozhodnutie o odvolaní).</t>
  </si>
  <si>
    <t>1.2 Aplikácia bude sledovať a upozorňovať na termíny činností</t>
  </si>
  <si>
    <t>1.3 Aplikácia poskytne zostavy k sledovaniu stavov kontrol, sledovanie ktorých nie je schopná zabezpečiť jestvujúca aplikácia pre jednotlivé oblasti (IS MZV (mimoriadne zhoršenie vôd), IS Garbis (odpady), IS DKČ (ochrana prírody a krajiny), IS IPKZ (integrované povoľovanie a kontrola znečistenia))</t>
  </si>
  <si>
    <t>1.4 Aplikácia poskytne zostavy k sledovaniu stavov kontrol pri oblastiach ochrany ŽP bez podpory účelových aplikácií (v súčasnosti podporené len na úrovni EUC - ochrana vôd mimo mimoriadneho zhoršenia vôd, ochrana ovzdušia, biologická bezpečnosť)</t>
  </si>
  <si>
    <t>Vypracovanie bude uľahčené predvyplnením dostupných informácií o kontrolovanom subjekte do šablón používaných v jednotlivých procesných krokoch (Rozhodnutie o žiadosti, Zápisnica z ústneho pojednávania, Rozhodnutie o odvolaní). Predbežný výstup bude elektronicky podpísaný. Odoslanie bude zabezpečené integráciou z jestvujúcim registratúrnym systémom.</t>
  </si>
  <si>
    <t>1. Intergrácia s internými systémami IS MZV, IS Garbis, IS DKČ, IS IPKZ (databázy v správe SAŽP, okrem IS DKČ v správe SIŽP)</t>
  </si>
  <si>
    <t>2. Integrácie s dostupnými registrami CSRÚ. Každý dotaz na CSRÚ dostane registratúrne číslo.</t>
  </si>
  <si>
    <t>fotoaparáty s podporou GPS záznamu pre inšpektorov na zber dôkazných materiálov v teréne</t>
  </si>
  <si>
    <t>zálohovací SW (cluster produkcia a test)
výpočet pre prípad licencie Veam:
licencia na počet sockets hostov, a teda 2 socketový host vyžaduje 2 licencie</t>
  </si>
  <si>
    <t xml:space="preserve">antivírusové aplikácie (produkcia a test) pre aplikačný cluster </t>
  </si>
  <si>
    <t xml:space="preserve">antivírusové aplikácie (produkcia a test) pre databázový cluster </t>
  </si>
  <si>
    <t>1. Podpora workflow pre inšpekčnú a povoľovaciu činnosť</t>
  </si>
  <si>
    <t>1.1 Analýza a návrh</t>
  </si>
  <si>
    <t>1.2 Vývoj</t>
  </si>
  <si>
    <t>1.3 Testovanie</t>
  </si>
  <si>
    <t>1.4 Dokumentácia</t>
  </si>
  <si>
    <t>1.5 Nasadenie do rutinnej prevádzky</t>
  </si>
  <si>
    <t>2. Rozšírenie integrácie workflow systému na IS MZV, IS Garbis, IS DKČ, IS IPKZ</t>
  </si>
  <si>
    <t>2.1 Analýza a návrh</t>
  </si>
  <si>
    <t>2.2 Vývoj</t>
  </si>
  <si>
    <t>2.3 Testovanie</t>
  </si>
  <si>
    <t>2.4 Dokumentácia</t>
  </si>
  <si>
    <t>2.5 Migrácia súčasných aplikácií do vládneho cloud a nasadenie do rutinnej prevádzky</t>
  </si>
  <si>
    <t>Prijatie oznámenia MZV</t>
  </si>
  <si>
    <t>Príprava na kontrolu pred vydaním poverenia</t>
  </si>
  <si>
    <t>Vystavenie poverenia</t>
  </si>
  <si>
    <t>Oboznámenie sa s predchádzajúcimi zisteniami</t>
  </si>
  <si>
    <t>Oboznámenie sa s výškou predchádzajúcich sankcií</t>
  </si>
  <si>
    <t>Oboznámenie sa s uhrádzaním sankcií</t>
  </si>
  <si>
    <t>Oboznámenie sa s plnením nápravných opatrení</t>
  </si>
  <si>
    <t>Zber externých údajov pri príprave kontroly</t>
  </si>
  <si>
    <t>Vypracovanie oznámenia o začatí kontroly</t>
  </si>
  <si>
    <t>Vypracovanie zoznamu požadovanej dokumentácie</t>
  </si>
  <si>
    <t>Vypracovanie zoznamu kontrolných otázok</t>
  </si>
  <si>
    <t>Administratívna príprava kontroly</t>
  </si>
  <si>
    <t>Uloženie dôkazov z ohliadky do spisu</t>
  </si>
  <si>
    <t>Vypracovanie zápisu z ohliadky / čiastkového / priebežného protokolu</t>
  </si>
  <si>
    <t>Vypracovanie stanoviska k pripomienkam kontrolovaného subjektu</t>
  </si>
  <si>
    <t>Ukončenie spisu</t>
  </si>
  <si>
    <t>Vypracovanie a zaslanie oznámenia o začatí správneho konania</t>
  </si>
  <si>
    <t>Vypracovanie zápisnice z ústneho pojednávania</t>
  </si>
  <si>
    <t>Vypracovanie upovedomenia o postúpení odvolania</t>
  </si>
  <si>
    <t>Žurnalizácia spisu</t>
  </si>
  <si>
    <t>Vypracovanie rozhodnutia o odvolaní</t>
  </si>
  <si>
    <t>a</t>
  </si>
  <si>
    <t>c</t>
  </si>
  <si>
    <t>b</t>
  </si>
  <si>
    <t>1. Podporovanie povoľovacej činnosti podľa zákona o IPK
2. Podporovanie povoľovacej činnosti podľa stavebného zákona
3. Podporovanie schválenia havarijného plánu podľa vodného zákona
4. Podporovanie inšpekčnej činnosti SIŽP
5. Uloženie sankcie za porušenie predpisov v oblasti ochrany ŽP
6. Spracovanie odvolania voči sankcii za porušenie predpisov v oblasti ŽP
7. Spracovanie odvolania voči zamietnutiu žiadosti o integrované povolenie</t>
  </si>
  <si>
    <t>Zistené za prípravu vcelku, vykázané pod oboznámením sa s predchádzajúcimi zisteniami</t>
  </si>
  <si>
    <t>Zahrnuté do oznámenia o začatí kontroly</t>
  </si>
  <si>
    <t>Mimo rozsahu projektu</t>
  </si>
  <si>
    <t>d</t>
  </si>
  <si>
    <t>Zahrnuté do prípravy protokolu</t>
  </si>
  <si>
    <t>Vypracovanie rozhodnutia o sankcii</t>
  </si>
  <si>
    <t>Vypracovanie predkladacej správy k odvolaniu</t>
  </si>
  <si>
    <t>Vážené trvanie</t>
  </si>
  <si>
    <t>Ostatné predmety kontrol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</si>
  <si>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</si>
  <si>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</si>
  <si>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</si>
  <si>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</si>
  <si>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</si>
  <si>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</si>
  <si>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</si>
  <si>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</si>
  <si>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HANYX s.r.o. Lučenec, Podnet - subjekt vykonáva mobilný zber a prepravu komunálneho odpadu bez zmluvy s mestom (Kontrola obcí pri nakladaní s komunálnym odpadom), 8212-36652/44/2017/Kov</t>
  </si>
  <si>
    <t>Meranie č. 15</t>
  </si>
  <si>
    <t>Meranie č. 16</t>
  </si>
  <si>
    <t>Štefan Fraňo, Ochrana ohrozených druhov, ktoré sú predmetom dohovoru CITES, 7840/2017</t>
  </si>
  <si>
    <t>Meranie č. 17</t>
  </si>
  <si>
    <t>PF UK, Kontrola uzavretých priestorov, 3651/2018</t>
  </si>
  <si>
    <t>Meranie č. 18</t>
  </si>
  <si>
    <t>Meranie č. 19</t>
  </si>
  <si>
    <t>Meranie č. 20</t>
  </si>
  <si>
    <t>ρ trvania</t>
  </si>
  <si>
    <t>AUTOGRAND, a.s., Zaobchádzanie so znečisťujúcimi látkami, 1045/2017</t>
  </si>
  <si>
    <t>ETI ELB, s.r.o. Báhoň, Nakladanie s vodami a prevádzku a účinnosť ČOV, 6419/2017</t>
  </si>
  <si>
    <t>VOLKSWAGEN, SLOVAKIA, a.s., Prevencia závažných priemyselných havárií, 5220/2018</t>
  </si>
  <si>
    <t>Modelovaný spis kontroly veľkého zdroja diskusiou s inšpektorom</t>
  </si>
  <si>
    <t>TERMMING, a.s. Bratislava, Kotolňa Železničná - kotle na spaľovanie biomasy, 5809-24751/33/2018/Fia, Kontrola stredného zdroja, 5809-24751/33/2018/Fia</t>
  </si>
  <si>
    <t>BIO-plus, s.r.o., Kontrola kvality palív, 1020/2018</t>
  </si>
  <si>
    <t>3U, s.r.o. Bratislava - výrobca regulovaných výrobkov, Kontrola kvality regulovaných výrobkov, 6765-25699/33/2018/Tom</t>
  </si>
  <si>
    <t>MAKOS, a.s. Bardejov, Kontrola emisie skleníkových plynov, kontrola: 4828-15367/53/2017/Kve
spravne konanie: 7490-33731/Ulb
odvolanie: 1110-2247/Šte</t>
  </si>
  <si>
    <t>Jozef Gregor, EKO TRANS, Pezinok, prevádzka Pod gaštanmi, Bratislava, Kontrola pôvodcov a držiteľov odpadov, 4087/2018</t>
  </si>
  <si>
    <t>Alfafin Plus, s.r.o., prevádzka Lehnice, Kontrola prevádzkovateľov zariadení na zber odpadov, 5566/2018
8159/2018</t>
  </si>
  <si>
    <t>BIOPRODUKT Dunajský Klátov, s.r.o., Dunajský Klátov, Kontrola prevádzkovateľov zariadení na zhodnocovanie odpadov, 3572/2018
8182/2018</t>
  </si>
  <si>
    <t>František Karkes, Senec, Používanie GT a GMO zámerným uvoľňovaním, 4785/2017</t>
  </si>
  <si>
    <t>Nerozčlenené podnety</t>
  </si>
  <si>
    <t>Počet kontrol celkom</t>
  </si>
  <si>
    <t>Považská cementáreň, a.s. , Environmentálne označovanie výrobkov, 5706/2018</t>
  </si>
  <si>
    <t>Priemerná súčasná pokuta</t>
  </si>
  <si>
    <t>Prínos zvýšenia efektívnosti</t>
  </si>
  <si>
    <t>Meranie</t>
  </si>
  <si>
    <t>Trvanie [h]</t>
  </si>
  <si>
    <t>Počet [n]</t>
  </si>
  <si>
    <t>h*n</t>
  </si>
  <si>
    <t>Priemer</t>
  </si>
  <si>
    <t>Stredná hodnota (medián)</t>
  </si>
  <si>
    <t>Počet kumulatívny</t>
  </si>
  <si>
    <t>Rozptyl</t>
  </si>
  <si>
    <t>n*(h-E(x))^2</t>
  </si>
  <si>
    <t>Štandardná odchýlka</t>
  </si>
  <si>
    <t>SLOVMAS, a.s., Bratislava, Kontrola povinností rozšírenej zodpovednosti výrobcov, 3970/2017</t>
  </si>
  <si>
    <t>Počet kontrol so zistením porušenia predpisov</t>
  </si>
  <si>
    <t>Dodatotční zamestnanci pre organizačnú zložku analýzy rizík</t>
  </si>
  <si>
    <t>Priemerná pokuta na kontrolu so zistením porušenia predpisov</t>
  </si>
  <si>
    <t>Uložené pokuty</t>
  </si>
  <si>
    <t>Percento zvýšenia kapacity zo zvýšenia počtu zamestnancov</t>
  </si>
  <si>
    <t>Sadzba DPH</t>
  </si>
  <si>
    <t>Jednotková cena (eur) s DPH</t>
  </si>
  <si>
    <t>Celková suma (eur) s DPH</t>
  </si>
  <si>
    <t>Suma externé (s DPH)</t>
  </si>
  <si>
    <t>Rate FTE externé (s DPH)</t>
  </si>
  <si>
    <t>Náklady na obstaranie a prevádzku HW (s DPH)</t>
  </si>
  <si>
    <t>Náklady na obstaranie a prevádzku SW (s DPH)</t>
  </si>
  <si>
    <t>Poznámka spracovateľa CBA: Ekonomické prínosy sú v tomto hárku v súlade so šablónou CBA uvedené bez konverzného faktora.</t>
  </si>
  <si>
    <t>Poznámka spracovateľa CBA: Ekonomický cashflow je v tomto hárku v súlade so šablónou CBA uvedený vrátane faktora.</t>
  </si>
  <si>
    <t>Spolu projekt</t>
  </si>
  <si>
    <t>Grösslingová 5, Bratislava</t>
  </si>
  <si>
    <t>811 09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</si>
</sst>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#,##0\ &quot;€&quot;;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  <numFmt numFmtId="168" formatCode="#,##0.00\ &quot;€&quot;"/>
    <numFmt numFmtId="169" formatCode="#,##0\ &quot;€&quot;"/>
    <numFmt numFmtId="170" formatCode="#,##0\ &quot;€&quot;;\-#,##0\ &quot;€&quot;;[Green]#,##0\ &quot;€&quot;"/>
    <numFmt numFmtId="171" formatCode="#,##0.00\ &quot;€&quot;;\-#,##0.00\ &quot;€&quot;;[Green]#,##0.00\ &quot;€&quot;"/>
    <numFmt numFmtId="172" formatCode="#,##0.000"/>
    <numFmt numFmtId="173" formatCode="\+#,##0;\-#,##0;0"/>
    <numFmt numFmtId="174" formatCode="\+0%;\-0%;0%"/>
  </numFmts>
  <fonts count="84" x14ac:knownFonts="1">
    <font>
      <sz val="11"/>
      <color theme="1"/>
      <name val="Calibri"/>
      <family val="2"/>
      <charset val="238"/>
      <scheme val="minor"/>
    </font>
    <font>
      <sz val="9"/>
      <color theme="1"/>
      <name val="Consolas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2" tint="-0.249977111117893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7" fillId="3" borderId="0" applyNumberFormat="0" applyBorder="0" applyAlignment="0" applyProtection="0"/>
    <xf numFmtId="0" fontId="8" fillId="4" borderId="16" applyNumberFormat="0" applyAlignment="0" applyProtection="0"/>
    <xf numFmtId="0" fontId="3" fillId="5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66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/>
    </xf>
    <xf numFmtId="0" fontId="4" fillId="2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11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2" fillId="7" borderId="5" xfId="0" applyFont="1" applyFill="1" applyBorder="1" applyAlignment="1">
      <alignment vertical="top" wrapText="1"/>
    </xf>
    <xf numFmtId="0" fontId="10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10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2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8" fillId="4" borderId="16" xfId="2" applyNumberFormat="1" applyAlignment="1">
      <alignment horizontal="right" vertical="top" wrapText="1"/>
    </xf>
    <xf numFmtId="4" fontId="8" fillId="4" borderId="36" xfId="2" applyNumberFormat="1" applyBorder="1" applyAlignment="1">
      <alignment horizontal="right" vertical="top" wrapText="1"/>
    </xf>
    <xf numFmtId="0" fontId="10" fillId="7" borderId="6" xfId="0" applyFont="1" applyFill="1" applyBorder="1" applyAlignment="1">
      <alignment horizontal="left" vertical="top" wrapText="1"/>
    </xf>
    <xf numFmtId="4" fontId="8" fillId="4" borderId="37" xfId="2" applyNumberFormat="1" applyBorder="1" applyAlignment="1">
      <alignment horizontal="right" vertical="top" wrapText="1"/>
    </xf>
    <xf numFmtId="4" fontId="7" fillId="3" borderId="0" xfId="1" applyNumberFormat="1" applyBorder="1" applyAlignment="1">
      <alignment horizontal="right" vertical="top" wrapText="1"/>
    </xf>
    <xf numFmtId="0" fontId="8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8" fillId="4" borderId="42" xfId="2" applyNumberFormat="1" applyBorder="1" applyAlignment="1">
      <alignment horizontal="right" vertical="top" wrapText="1"/>
    </xf>
    <xf numFmtId="4" fontId="8" fillId="4" borderId="45" xfId="2" applyNumberFormat="1" applyBorder="1" applyAlignment="1">
      <alignment horizontal="right" vertical="top" wrapText="1"/>
    </xf>
    <xf numFmtId="0" fontId="16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0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2" fillId="7" borderId="30" xfId="0" applyFont="1" applyFill="1" applyBorder="1" applyAlignment="1">
      <alignment vertical="top" wrapText="1"/>
    </xf>
    <xf numFmtId="4" fontId="8" fillId="4" borderId="71" xfId="2" applyNumberFormat="1" applyBorder="1" applyAlignment="1">
      <alignment horizontal="right" vertical="top" wrapText="1"/>
    </xf>
    <xf numFmtId="4" fontId="8" fillId="4" borderId="72" xfId="2" applyNumberFormat="1" applyBorder="1" applyAlignment="1">
      <alignment horizontal="right" vertical="top" wrapText="1"/>
    </xf>
    <xf numFmtId="4" fontId="8" fillId="4" borderId="73" xfId="2" applyNumberFormat="1" applyBorder="1" applyAlignment="1">
      <alignment horizontal="right" vertical="top" wrapText="1"/>
    </xf>
    <xf numFmtId="4" fontId="8" fillId="4" borderId="74" xfId="2" applyNumberFormat="1" applyBorder="1" applyAlignment="1">
      <alignment horizontal="right" vertical="top" wrapText="1"/>
    </xf>
    <xf numFmtId="4" fontId="8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1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8" fillId="4" borderId="77" xfId="2" applyNumberFormat="1" applyBorder="1" applyAlignment="1">
      <alignment horizontal="right" vertical="top" wrapText="1"/>
    </xf>
    <xf numFmtId="4" fontId="8" fillId="4" borderId="78" xfId="2" applyNumberFormat="1" applyBorder="1" applyAlignment="1">
      <alignment horizontal="right" vertical="top" wrapText="1"/>
    </xf>
    <xf numFmtId="4" fontId="8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7" fillId="3" borderId="80" xfId="1" applyBorder="1" applyAlignment="1">
      <alignment horizontal="right" vertical="top" wrapText="1"/>
    </xf>
    <xf numFmtId="4" fontId="8" fillId="4" borderId="36" xfId="2" applyNumberFormat="1" applyBorder="1" applyAlignment="1">
      <alignment horizontal="left" vertical="top" wrapText="1"/>
    </xf>
    <xf numFmtId="4" fontId="8" fillId="4" borderId="81" xfId="2" applyNumberFormat="1" applyBorder="1" applyAlignment="1">
      <alignment horizontal="right" vertical="top" wrapText="1"/>
    </xf>
    <xf numFmtId="4" fontId="8" fillId="4" borderId="82" xfId="2" applyNumberFormat="1" applyBorder="1" applyAlignment="1">
      <alignment horizontal="right" vertical="top" wrapText="1"/>
    </xf>
    <xf numFmtId="4" fontId="8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3" fontId="8" fillId="4" borderId="14" xfId="2" applyNumberFormat="1" applyBorder="1" applyAlignment="1">
      <alignment horizontal="right" vertical="top" wrapText="1"/>
    </xf>
    <xf numFmtId="3" fontId="8" fillId="4" borderId="24" xfId="2" applyNumberFormat="1" applyBorder="1" applyAlignment="1">
      <alignment horizontal="right" vertical="top" wrapText="1"/>
    </xf>
    <xf numFmtId="3" fontId="8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6" borderId="22" xfId="0" applyFont="1" applyFill="1" applyBorder="1" applyAlignment="1">
      <alignment horizontal="center" vertical="top" wrapText="1"/>
    </xf>
    <xf numFmtId="3" fontId="8" fillId="4" borderId="14" xfId="2" applyNumberFormat="1" applyBorder="1" applyAlignment="1">
      <alignment vertical="top" wrapText="1"/>
    </xf>
    <xf numFmtId="3" fontId="8" fillId="4" borderId="24" xfId="2" applyNumberFormat="1" applyBorder="1" applyAlignment="1">
      <alignment vertical="top" wrapText="1"/>
    </xf>
    <xf numFmtId="3" fontId="8" fillId="4" borderId="15" xfId="2" applyNumberFormat="1" applyBorder="1" applyAlignment="1">
      <alignment vertical="top" wrapText="1"/>
    </xf>
    <xf numFmtId="0" fontId="10" fillId="10" borderId="6" xfId="0" applyFont="1" applyFill="1" applyBorder="1" applyAlignment="1">
      <alignment horizontal="left" vertical="top" wrapText="1"/>
    </xf>
    <xf numFmtId="0" fontId="10" fillId="7" borderId="30" xfId="0" applyFont="1" applyFill="1" applyBorder="1" applyAlignment="1">
      <alignment horizontal="left" vertical="top" wrapText="1"/>
    </xf>
    <xf numFmtId="0" fontId="10" fillId="11" borderId="6" xfId="0" applyFont="1" applyFill="1" applyBorder="1" applyAlignment="1">
      <alignment horizontal="left" vertical="top" wrapText="1"/>
    </xf>
    <xf numFmtId="3" fontId="8" fillId="4" borderId="72" xfId="2" applyNumberFormat="1" applyBorder="1" applyAlignment="1">
      <alignment horizontal="right" vertical="top" wrapText="1"/>
    </xf>
    <xf numFmtId="0" fontId="10" fillId="10" borderId="30" xfId="0" applyFont="1" applyFill="1" applyBorder="1" applyAlignment="1">
      <alignment horizontal="left" vertical="top" wrapText="1"/>
    </xf>
    <xf numFmtId="0" fontId="10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8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10" fillId="7" borderId="69" xfId="0" applyFont="1" applyFill="1" applyBorder="1" applyAlignment="1">
      <alignment horizontal="center" vertical="top" wrapText="1"/>
    </xf>
    <xf numFmtId="3" fontId="8" fillId="4" borderId="36" xfId="2" applyNumberFormat="1" applyBorder="1"/>
    <xf numFmtId="3" fontId="8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8" fillId="4" borderId="82" xfId="2" applyNumberFormat="1" applyBorder="1" applyAlignment="1">
      <alignment horizontal="right"/>
    </xf>
    <xf numFmtId="3" fontId="8" fillId="4" borderId="83" xfId="2" applyNumberFormat="1" applyBorder="1" applyAlignment="1">
      <alignment horizontal="right"/>
    </xf>
    <xf numFmtId="3" fontId="8" fillId="4" borderId="69" xfId="2" applyNumberFormat="1" applyBorder="1"/>
    <xf numFmtId="3" fontId="8" fillId="4" borderId="30" xfId="2" applyNumberFormat="1" applyBorder="1"/>
    <xf numFmtId="3" fontId="8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9" fillId="0" borderId="0" xfId="0" applyFont="1"/>
    <xf numFmtId="0" fontId="4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8" fillId="4" borderId="93" xfId="2" applyNumberFormat="1" applyBorder="1"/>
    <xf numFmtId="3" fontId="8" fillId="4" borderId="78" xfId="2" applyNumberFormat="1" applyBorder="1"/>
    <xf numFmtId="3" fontId="8" fillId="4" borderId="43" xfId="2" applyNumberFormat="1" applyBorder="1"/>
    <xf numFmtId="3" fontId="8" fillId="4" borderId="46" xfId="2" applyNumberFormat="1" applyBorder="1"/>
    <xf numFmtId="3" fontId="8" fillId="4" borderId="94" xfId="2" applyNumberFormat="1" applyBorder="1"/>
    <xf numFmtId="3" fontId="8" fillId="4" borderId="95" xfId="2" applyNumberFormat="1" applyBorder="1" applyAlignment="1">
      <alignment horizontal="right" vertical="top" wrapText="1"/>
    </xf>
    <xf numFmtId="3" fontId="8" fillId="4" borderId="47" xfId="2" applyNumberFormat="1" applyBorder="1" applyAlignment="1">
      <alignment vertical="top" wrapText="1"/>
    </xf>
    <xf numFmtId="3" fontId="8" fillId="4" borderId="96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9" fillId="14" borderId="29" xfId="0" applyFont="1" applyFill="1" applyBorder="1"/>
    <xf numFmtId="0" fontId="35" fillId="0" borderId="0" xfId="0" applyFont="1" applyFill="1"/>
    <xf numFmtId="0" fontId="40" fillId="0" borderId="0" xfId="0" applyFont="1"/>
    <xf numFmtId="4" fontId="8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3" fillId="6" borderId="58" xfId="0" applyFont="1" applyFill="1" applyBorder="1" applyAlignment="1">
      <alignment horizontal="center" vertical="top" wrapText="1"/>
    </xf>
    <xf numFmtId="0" fontId="3" fillId="6" borderId="87" xfId="0" applyFont="1" applyFill="1" applyBorder="1" applyAlignment="1">
      <alignment horizontal="center" vertical="top" wrapText="1"/>
    </xf>
    <xf numFmtId="0" fontId="3" fillId="6" borderId="60" xfId="0" applyFont="1" applyFill="1" applyBorder="1" applyAlignment="1">
      <alignment horizontal="center" vertical="top" wrapText="1"/>
    </xf>
    <xf numFmtId="0" fontId="3" fillId="6" borderId="61" xfId="0" applyFont="1" applyFill="1" applyBorder="1" applyAlignment="1">
      <alignment horizontal="center" vertical="top" wrapText="1"/>
    </xf>
    <xf numFmtId="0" fontId="3" fillId="0" borderId="38" xfId="0" applyFont="1" applyBorder="1" applyAlignment="1">
      <alignment horizontal="left"/>
    </xf>
    <xf numFmtId="3" fontId="8" fillId="4" borderId="82" xfId="2" applyNumberFormat="1" applyFont="1" applyBorder="1" applyAlignment="1">
      <alignment horizontal="right"/>
    </xf>
    <xf numFmtId="3" fontId="8" fillId="4" borderId="93" xfId="2" applyNumberFormat="1" applyFont="1" applyBorder="1"/>
    <xf numFmtId="3" fontId="8" fillId="4" borderId="36" xfId="2" applyNumberFormat="1" applyFont="1" applyBorder="1"/>
    <xf numFmtId="3" fontId="8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8" fillId="4" borderId="83" xfId="2" applyNumberFormat="1" applyFont="1" applyBorder="1" applyAlignment="1">
      <alignment horizontal="right"/>
    </xf>
    <xf numFmtId="3" fontId="8" fillId="4" borderId="69" xfId="2" applyNumberFormat="1" applyFont="1" applyBorder="1"/>
    <xf numFmtId="3" fontId="8" fillId="4" borderId="88" xfId="2" applyNumberFormat="1" applyFont="1" applyBorder="1"/>
    <xf numFmtId="3" fontId="8" fillId="4" borderId="73" xfId="2" applyNumberFormat="1" applyFont="1" applyBorder="1"/>
    <xf numFmtId="3" fontId="8" fillId="4" borderId="90" xfId="2" applyNumberFormat="1" applyFont="1" applyBorder="1"/>
    <xf numFmtId="3" fontId="8" fillId="4" borderId="30" xfId="2" applyNumberFormat="1" applyFont="1" applyBorder="1"/>
    <xf numFmtId="3" fontId="8" fillId="4" borderId="102" xfId="2" applyNumberFormat="1" applyFont="1" applyBorder="1"/>
    <xf numFmtId="3" fontId="8" fillId="4" borderId="16" xfId="2" applyNumberFormat="1" applyFont="1" applyBorder="1"/>
    <xf numFmtId="4" fontId="8" fillId="4" borderId="103" xfId="2" applyNumberFormat="1" applyBorder="1" applyAlignment="1">
      <alignment horizontal="right" vertical="top" wrapText="1"/>
    </xf>
    <xf numFmtId="4" fontId="8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8" fillId="4" borderId="105" xfId="2" applyNumberFormat="1" applyBorder="1" applyAlignment="1">
      <alignment horizontal="right" vertical="top" wrapText="1"/>
    </xf>
    <xf numFmtId="0" fontId="9" fillId="0" borderId="8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8" fillId="4" borderId="118" xfId="2" applyNumberFormat="1" applyBorder="1" applyAlignment="1">
      <alignment horizontal="right" vertical="top" wrapText="1"/>
    </xf>
    <xf numFmtId="4" fontId="8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4" fontId="44" fillId="4" borderId="118" xfId="2" applyNumberFormat="1" applyFont="1" applyBorder="1" applyAlignment="1">
      <alignment horizontal="left" vertical="center" wrapText="1"/>
    </xf>
    <xf numFmtId="4" fontId="8" fillId="15" borderId="117" xfId="2" applyNumberFormat="1" applyFill="1" applyBorder="1" applyAlignment="1">
      <alignment horizontal="right" vertical="center" wrapText="1"/>
    </xf>
    <xf numFmtId="165" fontId="43" fillId="15" borderId="117" xfId="4" applyNumberFormat="1" applyFont="1" applyFill="1" applyBorder="1" applyAlignment="1">
      <alignment horizontal="right" vertical="center" wrapText="1"/>
    </xf>
    <xf numFmtId="3" fontId="43" fillId="15" borderId="117" xfId="4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4" fontId="46" fillId="9" borderId="117" xfId="2" applyNumberFormat="1" applyFont="1" applyFill="1" applyBorder="1" applyAlignment="1">
      <alignment horizontal="right" vertical="center" wrapText="1"/>
    </xf>
    <xf numFmtId="165" fontId="47" fillId="9" borderId="117" xfId="4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3" fontId="47" fillId="9" borderId="117" xfId="4" applyNumberFormat="1" applyFont="1" applyFill="1" applyBorder="1" applyAlignment="1">
      <alignment horizontal="right" vertical="center" wrapText="1"/>
    </xf>
    <xf numFmtId="2" fontId="4" fillId="17" borderId="80" xfId="1" applyNumberFormat="1" applyFont="1" applyFill="1" applyBorder="1" applyAlignment="1">
      <alignment vertical="top" wrapText="1"/>
    </xf>
    <xf numFmtId="1" fontId="49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10" fillId="0" borderId="0" xfId="0" applyFont="1" applyFill="1" applyBorder="1" applyAlignment="1">
      <alignment horizontal="center" vertical="top" wrapText="1"/>
    </xf>
    <xf numFmtId="3" fontId="8" fillId="0" borderId="0" xfId="2" applyNumberFormat="1" applyFill="1" applyBorder="1"/>
    <xf numFmtId="0" fontId="9" fillId="0" borderId="61" xfId="0" applyFont="1" applyBorder="1" applyAlignment="1"/>
    <xf numFmtId="0" fontId="9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10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9" fillId="10" borderId="19" xfId="4" applyFont="1" applyFill="1" applyBorder="1" applyAlignment="1">
      <alignment wrapText="1"/>
    </xf>
    <xf numFmtId="9" fontId="9" fillId="10" borderId="123" xfId="4" applyFont="1" applyFill="1" applyBorder="1" applyAlignment="1">
      <alignment wrapText="1"/>
    </xf>
    <xf numFmtId="9" fontId="9" fillId="10" borderId="19" xfId="4" applyFont="1" applyFill="1" applyBorder="1"/>
    <xf numFmtId="9" fontId="9" fillId="10" borderId="123" xfId="4" applyFont="1" applyFill="1" applyBorder="1"/>
    <xf numFmtId="0" fontId="9" fillId="10" borderId="0" xfId="0" applyFont="1" applyFill="1" applyAlignment="1">
      <alignment wrapText="1"/>
    </xf>
    <xf numFmtId="4" fontId="9" fillId="10" borderId="0" xfId="0" applyNumberFormat="1" applyFont="1" applyFill="1" applyAlignment="1">
      <alignment wrapText="1"/>
    </xf>
    <xf numFmtId="0" fontId="9" fillId="0" borderId="0" xfId="0" applyFont="1" applyFill="1"/>
    <xf numFmtId="0" fontId="9" fillId="10" borderId="20" xfId="0" applyFont="1" applyFill="1" applyBorder="1" applyAlignment="1">
      <alignment horizontal="right" wrapText="1"/>
    </xf>
    <xf numFmtId="0" fontId="9" fillId="10" borderId="19" xfId="0" applyFont="1" applyFill="1" applyBorder="1" applyAlignment="1">
      <alignment horizontal="right" wrapText="1"/>
    </xf>
    <xf numFmtId="0" fontId="9" fillId="10" borderId="122" xfId="0" applyFont="1" applyFill="1" applyBorder="1" applyAlignment="1">
      <alignment horizontal="right"/>
    </xf>
    <xf numFmtId="0" fontId="9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4" fontId="9" fillId="0" borderId="0" xfId="0" applyNumberFormat="1" applyFont="1" applyBorder="1" applyAlignment="1">
      <alignment wrapText="1"/>
    </xf>
    <xf numFmtId="9" fontId="9" fillId="19" borderId="20" xfId="4" applyFont="1" applyFill="1" applyBorder="1" applyAlignment="1">
      <alignment wrapText="1"/>
    </xf>
    <xf numFmtId="2" fontId="0" fillId="0" borderId="0" xfId="0" applyNumberFormat="1" applyBorder="1"/>
    <xf numFmtId="9" fontId="9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9" fillId="19" borderId="123" xfId="4" applyFont="1" applyFill="1" applyBorder="1" applyAlignment="1">
      <alignment wrapText="1"/>
    </xf>
    <xf numFmtId="9" fontId="9" fillId="19" borderId="124" xfId="4" applyFont="1" applyFill="1" applyBorder="1" applyAlignment="1">
      <alignment wrapText="1"/>
    </xf>
    <xf numFmtId="9" fontId="9" fillId="19" borderId="116" xfId="4" applyFont="1" applyFill="1" applyBorder="1" applyAlignment="1">
      <alignment wrapText="1"/>
    </xf>
    <xf numFmtId="0" fontId="39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9" fillId="14" borderId="2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39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5" fillId="17" borderId="133" xfId="0" applyFont="1" applyFill="1" applyBorder="1" applyAlignment="1">
      <alignment horizontal="center" vertical="center"/>
    </xf>
    <xf numFmtId="0" fontId="38" fillId="17" borderId="13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19" borderId="0" xfId="0" applyFont="1" applyFill="1"/>
    <xf numFmtId="0" fontId="9" fillId="19" borderId="0" xfId="0" applyFont="1" applyFill="1" applyAlignment="1">
      <alignment horizontal="left"/>
    </xf>
    <xf numFmtId="0" fontId="9" fillId="0" borderId="69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46" xfId="0" applyFont="1" applyBorder="1" applyAlignment="1">
      <alignment horizontal="center" vertical="center" wrapText="1"/>
    </xf>
    <xf numFmtId="0" fontId="57" fillId="0" borderId="0" xfId="0" applyFont="1"/>
    <xf numFmtId="2" fontId="39" fillId="14" borderId="69" xfId="0" applyNumberFormat="1" applyFont="1" applyFill="1" applyBorder="1" applyAlignment="1">
      <alignment horizontal="center" vertical="center"/>
    </xf>
    <xf numFmtId="2" fontId="39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9" fillId="9" borderId="152" xfId="0" applyFont="1" applyFill="1" applyBorder="1"/>
    <xf numFmtId="0" fontId="9" fillId="9" borderId="149" xfId="0" applyFont="1" applyFill="1" applyBorder="1"/>
    <xf numFmtId="0" fontId="9" fillId="9" borderId="150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1" fillId="17" borderId="154" xfId="0" applyFont="1" applyFill="1" applyBorder="1" applyAlignment="1">
      <alignment horizontal="center" vertical="center"/>
    </xf>
    <xf numFmtId="0" fontId="41" fillId="17" borderId="155" xfId="0" applyFont="1" applyFill="1" applyBorder="1" applyAlignment="1">
      <alignment horizontal="center" vertical="center"/>
    </xf>
    <xf numFmtId="0" fontId="41" fillId="17" borderId="156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0" fillId="21" borderId="114" xfId="6" applyFont="1" applyFill="1" applyBorder="1" applyAlignment="1">
      <alignment vertical="center"/>
    </xf>
    <xf numFmtId="0" fontId="60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9" fillId="0" borderId="60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19" borderId="125" xfId="0" applyFont="1" applyFill="1" applyBorder="1" applyProtection="1"/>
    <xf numFmtId="0" fontId="9" fillId="19" borderId="34" xfId="0" applyFont="1" applyFill="1" applyBorder="1" applyProtection="1"/>
    <xf numFmtId="0" fontId="9" fillId="19" borderId="113" xfId="0" applyFont="1" applyFill="1" applyBorder="1" applyProtection="1"/>
    <xf numFmtId="164" fontId="9" fillId="19" borderId="22" xfId="5" applyNumberFormat="1" applyFont="1" applyFill="1" applyBorder="1" applyProtection="1"/>
    <xf numFmtId="164" fontId="9" fillId="19" borderId="125" xfId="5" applyNumberFormat="1" applyFont="1" applyFill="1" applyBorder="1" applyProtection="1"/>
    <xf numFmtId="0" fontId="9" fillId="0" borderId="125" xfId="0" applyFont="1" applyBorder="1" applyProtection="1"/>
    <xf numFmtId="0" fontId="9" fillId="22" borderId="34" xfId="0" applyFont="1" applyFill="1" applyBorder="1" applyProtection="1"/>
    <xf numFmtId="0" fontId="9" fillId="22" borderId="113" xfId="0" applyFont="1" applyFill="1" applyBorder="1" applyProtection="1"/>
    <xf numFmtId="0" fontId="9" fillId="21" borderId="125" xfId="0" applyFont="1" applyFill="1" applyBorder="1" applyProtection="1"/>
    <xf numFmtId="0" fontId="9" fillId="21" borderId="34" xfId="0" applyFont="1" applyFill="1" applyBorder="1" applyProtection="1"/>
    <xf numFmtId="0" fontId="0" fillId="21" borderId="113" xfId="0" applyFont="1" applyFill="1" applyBorder="1" applyProtection="1"/>
    <xf numFmtId="0" fontId="9" fillId="21" borderId="122" xfId="0" applyFont="1" applyFill="1" applyBorder="1" applyProtection="1"/>
    <xf numFmtId="0" fontId="9" fillId="21" borderId="18" xfId="0" applyFont="1" applyFill="1" applyBorder="1" applyProtection="1"/>
    <xf numFmtId="0" fontId="0" fillId="21" borderId="116" xfId="0" applyFont="1" applyFill="1" applyBorder="1" applyProtection="1"/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0" fillId="18" borderId="0" xfId="0" applyFont="1" applyFill="1" applyAlignment="1" applyProtection="1">
      <alignment horizontal="left" vertical="top" wrapText="1"/>
    </xf>
    <xf numFmtId="0" fontId="10" fillId="18" borderId="0" xfId="0" applyFont="1" applyFill="1" applyBorder="1" applyAlignment="1" applyProtection="1">
      <alignment horizontal="left" vertical="top" wrapText="1"/>
    </xf>
    <xf numFmtId="0" fontId="10" fillId="18" borderId="15" xfId="0" applyFont="1" applyFill="1" applyBorder="1" applyAlignment="1" applyProtection="1">
      <alignment horizontal="left" vertical="top" wrapText="1"/>
    </xf>
    <xf numFmtId="0" fontId="10" fillId="18" borderId="26" xfId="0" applyFont="1" applyFill="1" applyBorder="1" applyAlignment="1" applyProtection="1">
      <alignment horizontal="left" vertical="top" wrapText="1"/>
    </xf>
    <xf numFmtId="0" fontId="10" fillId="18" borderId="5" xfId="0" applyFont="1" applyFill="1" applyBorder="1" applyAlignment="1" applyProtection="1">
      <alignment horizontal="left" vertical="top" wrapText="1"/>
    </xf>
    <xf numFmtId="0" fontId="10" fillId="18" borderId="0" xfId="0" applyFont="1" applyFill="1" applyBorder="1" applyAlignment="1" applyProtection="1">
      <alignment horizontal="center" vertical="top" wrapText="1"/>
    </xf>
    <xf numFmtId="0" fontId="10" fillId="18" borderId="27" xfId="0" applyFont="1" applyFill="1" applyBorder="1" applyAlignment="1" applyProtection="1">
      <alignment horizontal="center" vertical="top" wrapText="1"/>
    </xf>
    <xf numFmtId="0" fontId="10" fillId="18" borderId="19" xfId="0" applyFont="1" applyFill="1" applyBorder="1" applyAlignment="1" applyProtection="1">
      <alignment horizontal="center" vertical="top" wrapText="1"/>
    </xf>
    <xf numFmtId="0" fontId="10" fillId="18" borderId="5" xfId="0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6" fontId="0" fillId="0" borderId="14" xfId="5" applyNumberFormat="1" applyFont="1" applyBorder="1" applyAlignment="1" applyProtection="1">
      <alignment horizontal="center" vertical="center" wrapText="1"/>
    </xf>
    <xf numFmtId="166" fontId="0" fillId="0" borderId="23" xfId="5" applyNumberFormat="1" applyFont="1" applyBorder="1" applyAlignment="1" applyProtection="1">
      <alignment horizontal="center" vertical="center" wrapText="1"/>
    </xf>
    <xf numFmtId="166" fontId="0" fillId="0" borderId="13" xfId="5" applyNumberFormat="1" applyFont="1" applyBorder="1" applyAlignment="1" applyProtection="1">
      <alignment horizontal="center" vertical="center" wrapText="1"/>
    </xf>
    <xf numFmtId="166" fontId="15" fillId="5" borderId="84" xfId="5" applyNumberFormat="1" applyFont="1" applyFill="1" applyBorder="1" applyAlignment="1" applyProtection="1">
      <alignment horizontal="center" vertical="center" wrapText="1"/>
    </xf>
    <xf numFmtId="166" fontId="15" fillId="5" borderId="53" xfId="5" applyNumberFormat="1" applyFont="1" applyFill="1" applyBorder="1" applyAlignment="1" applyProtection="1">
      <alignment horizontal="center" vertical="center" wrapText="1"/>
    </xf>
    <xf numFmtId="166" fontId="55" fillId="20" borderId="53" xfId="5" applyNumberFormat="1" applyFont="1" applyFill="1" applyBorder="1" applyAlignment="1" applyProtection="1">
      <alignment horizontal="center" vertical="center" wrapText="1"/>
    </xf>
    <xf numFmtId="166" fontId="15" fillId="5" borderId="100" xfId="5" applyNumberFormat="1" applyFont="1" applyFill="1" applyBorder="1" applyAlignment="1" applyProtection="1">
      <alignment horizontal="center" vertical="center" wrapText="1"/>
    </xf>
    <xf numFmtId="166" fontId="55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6" fontId="0" fillId="0" borderId="24" xfId="5" applyNumberFormat="1" applyFont="1" applyBorder="1" applyAlignment="1" applyProtection="1">
      <alignment horizontal="center" vertical="center" wrapText="1"/>
    </xf>
    <xf numFmtId="166" fontId="0" fillId="0" borderId="0" xfId="5" applyNumberFormat="1" applyFont="1" applyBorder="1" applyAlignment="1" applyProtection="1">
      <alignment horizontal="center" vertical="center" wrapText="1"/>
    </xf>
    <xf numFmtId="166" fontId="0" fillId="0" borderId="6" xfId="5" applyNumberFormat="1" applyFont="1" applyBorder="1" applyAlignment="1" applyProtection="1">
      <alignment horizontal="center" vertical="center" wrapText="1"/>
    </xf>
    <xf numFmtId="166" fontId="15" fillId="5" borderId="41" xfId="5" applyNumberFormat="1" applyFont="1" applyFill="1" applyBorder="1" applyAlignment="1" applyProtection="1">
      <alignment horizontal="center" vertical="center" wrapText="1"/>
    </xf>
    <xf numFmtId="166" fontId="15" fillId="5" borderId="17" xfId="5" applyNumberFormat="1" applyFont="1" applyFill="1" applyBorder="1" applyAlignment="1" applyProtection="1">
      <alignment horizontal="center" vertical="center" wrapText="1"/>
    </xf>
    <xf numFmtId="166" fontId="55" fillId="20" borderId="17" xfId="5" applyNumberFormat="1" applyFont="1" applyFill="1" applyBorder="1" applyAlignment="1" applyProtection="1">
      <alignment horizontal="center" vertical="center" wrapText="1"/>
    </xf>
    <xf numFmtId="166" fontId="15" fillId="5" borderId="127" xfId="5" applyNumberFormat="1" applyFont="1" applyFill="1" applyBorder="1" applyAlignment="1" applyProtection="1">
      <alignment horizontal="center" vertical="center" wrapText="1"/>
    </xf>
    <xf numFmtId="166" fontId="55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6" fontId="0" fillId="0" borderId="15" xfId="5" applyNumberFormat="1" applyFont="1" applyBorder="1" applyAlignment="1" applyProtection="1">
      <alignment horizontal="center" vertical="center" wrapText="1"/>
    </xf>
    <xf numFmtId="166" fontId="0" fillId="0" borderId="26" xfId="5" applyNumberFormat="1" applyFont="1" applyBorder="1" applyAlignment="1" applyProtection="1">
      <alignment horizontal="center" vertical="center" wrapText="1"/>
    </xf>
    <xf numFmtId="166" fontId="0" fillId="0" borderId="5" xfId="5" applyNumberFormat="1" applyFont="1" applyBorder="1" applyAlignment="1" applyProtection="1">
      <alignment horizontal="center" vertical="center" wrapText="1"/>
    </xf>
    <xf numFmtId="166" fontId="15" fillId="5" borderId="85" xfId="5" applyNumberFormat="1" applyFont="1" applyFill="1" applyBorder="1" applyAlignment="1" applyProtection="1">
      <alignment horizontal="center" vertical="center" wrapText="1"/>
    </xf>
    <xf numFmtId="166" fontId="15" fillId="5" borderId="56" xfId="5" applyNumberFormat="1" applyFont="1" applyFill="1" applyBorder="1" applyAlignment="1" applyProtection="1">
      <alignment horizontal="center" vertical="center" wrapText="1"/>
    </xf>
    <xf numFmtId="166" fontId="55" fillId="20" borderId="56" xfId="5" applyNumberFormat="1" applyFont="1" applyFill="1" applyBorder="1" applyAlignment="1" applyProtection="1">
      <alignment horizontal="center" vertical="center" wrapText="1"/>
    </xf>
    <xf numFmtId="166" fontId="15" fillId="5" borderId="128" xfId="5" applyNumberFormat="1" applyFont="1" applyFill="1" applyBorder="1" applyAlignment="1" applyProtection="1">
      <alignment horizontal="center" vertical="center" wrapText="1"/>
    </xf>
    <xf numFmtId="166" fontId="55" fillId="20" borderId="99" xfId="5" applyNumberFormat="1" applyFont="1" applyFill="1" applyBorder="1" applyAlignment="1" applyProtection="1">
      <alignment horizontal="center" vertical="center" wrapText="1"/>
    </xf>
    <xf numFmtId="167" fontId="0" fillId="0" borderId="14" xfId="0" applyNumberFormat="1" applyBorder="1" applyAlignment="1" applyProtection="1">
      <alignment horizontal="center" vertical="center" wrapText="1"/>
    </xf>
    <xf numFmtId="167" fontId="0" fillId="0" borderId="23" xfId="0" applyNumberFormat="1" applyBorder="1" applyAlignment="1" applyProtection="1">
      <alignment horizontal="center" vertical="center" wrapText="1"/>
    </xf>
    <xf numFmtId="167" fontId="0" fillId="0" borderId="13" xfId="0" applyNumberFormat="1" applyBorder="1" applyAlignment="1" applyProtection="1">
      <alignment horizontal="center" vertical="center" wrapText="1"/>
    </xf>
    <xf numFmtId="167" fontId="15" fillId="5" borderId="53" xfId="3" applyNumberFormat="1" applyFont="1" applyBorder="1" applyAlignment="1" applyProtection="1">
      <alignment horizontal="center" vertical="center" wrapText="1"/>
    </xf>
    <xf numFmtId="167" fontId="55" fillId="20" borderId="53" xfId="3" applyNumberFormat="1" applyFont="1" applyFill="1" applyBorder="1" applyAlignment="1" applyProtection="1">
      <alignment horizontal="center" vertical="center" wrapText="1"/>
    </xf>
    <xf numFmtId="167" fontId="15" fillId="5" borderId="129" xfId="3" applyNumberFormat="1" applyFont="1" applyBorder="1" applyAlignment="1" applyProtection="1">
      <alignment horizontal="center" vertical="center" wrapText="1"/>
    </xf>
    <xf numFmtId="167" fontId="55" fillId="20" borderId="97" xfId="3" applyNumberFormat="1" applyFont="1" applyFill="1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center" vertical="center" wrapText="1"/>
    </xf>
    <xf numFmtId="167" fontId="0" fillId="0" borderId="6" xfId="0" applyNumberFormat="1" applyBorder="1" applyAlignment="1" applyProtection="1">
      <alignment horizontal="center" vertical="center" wrapText="1"/>
    </xf>
    <xf numFmtId="167" fontId="15" fillId="5" borderId="17" xfId="3" applyNumberFormat="1" applyFont="1" applyBorder="1" applyAlignment="1" applyProtection="1">
      <alignment horizontal="center" vertical="center" wrapText="1"/>
    </xf>
    <xf numFmtId="167" fontId="55" fillId="20" borderId="17" xfId="3" applyNumberFormat="1" applyFont="1" applyFill="1" applyBorder="1" applyAlignment="1" applyProtection="1">
      <alignment horizontal="center" vertical="center" wrapText="1"/>
    </xf>
    <xf numFmtId="167" fontId="15" fillId="5" borderId="127" xfId="3" applyNumberFormat="1" applyFont="1" applyBorder="1" applyAlignment="1" applyProtection="1">
      <alignment horizontal="center" vertical="center" wrapText="1"/>
    </xf>
    <xf numFmtId="167" fontId="55" fillId="20" borderId="98" xfId="3" applyNumberFormat="1" applyFont="1" applyFill="1" applyBorder="1" applyAlignment="1" applyProtection="1">
      <alignment horizontal="center" vertical="center" wrapText="1"/>
    </xf>
    <xf numFmtId="167" fontId="0" fillId="0" borderId="15" xfId="0" applyNumberFormat="1" applyBorder="1" applyAlignment="1" applyProtection="1">
      <alignment horizontal="center" vertical="center" wrapText="1"/>
    </xf>
    <xf numFmtId="167" fontId="0" fillId="0" borderId="26" xfId="0" applyNumberFormat="1" applyBorder="1" applyAlignment="1" applyProtection="1">
      <alignment horizontal="center" vertical="center" wrapText="1"/>
    </xf>
    <xf numFmtId="167" fontId="0" fillId="0" borderId="5" xfId="0" applyNumberFormat="1" applyBorder="1" applyAlignment="1" applyProtection="1">
      <alignment horizontal="center" vertical="center" wrapText="1"/>
    </xf>
    <xf numFmtId="167" fontId="15" fillId="5" borderId="56" xfId="3" applyNumberFormat="1" applyFont="1" applyBorder="1" applyAlignment="1" applyProtection="1">
      <alignment horizontal="center" vertical="center" wrapText="1"/>
    </xf>
    <xf numFmtId="167" fontId="55" fillId="20" borderId="56" xfId="3" applyNumberFormat="1" applyFont="1" applyFill="1" applyBorder="1" applyAlignment="1" applyProtection="1">
      <alignment horizontal="center" vertical="center" wrapText="1"/>
    </xf>
    <xf numFmtId="167" fontId="15" fillId="5" borderId="128" xfId="3" applyNumberFormat="1" applyFont="1" applyBorder="1" applyAlignment="1" applyProtection="1">
      <alignment horizontal="center" vertical="center" wrapText="1"/>
    </xf>
    <xf numFmtId="167" fontId="55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9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3" fillId="16" borderId="29" xfId="0" applyFont="1" applyFill="1" applyBorder="1" applyAlignment="1" applyProtection="1">
      <alignment horizontal="left" vertical="top" wrapText="1"/>
    </xf>
    <xf numFmtId="0" fontId="15" fillId="16" borderId="140" xfId="3" applyFont="1" applyFill="1" applyBorder="1" applyAlignment="1" applyProtection="1">
      <alignment horizontal="right" vertical="top" wrapText="1"/>
    </xf>
    <xf numFmtId="0" fontId="55" fillId="16" borderId="140" xfId="3" applyFont="1" applyFill="1" applyBorder="1" applyAlignment="1" applyProtection="1">
      <alignment horizontal="right" vertical="top" wrapText="1"/>
    </xf>
    <xf numFmtId="0" fontId="15" fillId="16" borderId="141" xfId="3" applyFont="1" applyFill="1" applyBorder="1" applyAlignment="1" applyProtection="1">
      <alignment horizontal="right" vertical="top" wrapText="1"/>
    </xf>
    <xf numFmtId="0" fontId="55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6" fontId="56" fillId="20" borderId="24" xfId="5" applyNumberFormat="1" applyFont="1" applyFill="1" applyBorder="1" applyAlignment="1" applyProtection="1">
      <alignment horizontal="center" vertical="center" wrapText="1"/>
    </xf>
    <xf numFmtId="166" fontId="56" fillId="20" borderId="0" xfId="5" applyNumberFormat="1" applyFont="1" applyFill="1" applyBorder="1" applyAlignment="1" applyProtection="1">
      <alignment horizontal="center" vertical="center" wrapText="1"/>
    </xf>
    <xf numFmtId="166" fontId="56" fillId="20" borderId="6" xfId="5" applyNumberFormat="1" applyFont="1" applyFill="1" applyBorder="1" applyAlignment="1" applyProtection="1">
      <alignment horizontal="center" vertical="center" wrapText="1"/>
    </xf>
    <xf numFmtId="166" fontId="55" fillId="23" borderId="136" xfId="5" applyNumberFormat="1" applyFont="1" applyFill="1" applyBorder="1" applyAlignment="1" applyProtection="1">
      <alignment horizontal="center" vertical="center" wrapText="1"/>
    </xf>
    <xf numFmtId="166" fontId="55" fillId="23" borderId="137" xfId="5" applyNumberFormat="1" applyFont="1" applyFill="1" applyBorder="1" applyAlignment="1" applyProtection="1">
      <alignment horizontal="center" vertical="center" wrapText="1"/>
    </xf>
    <xf numFmtId="166" fontId="55" fillId="20" borderId="137" xfId="5" applyNumberFormat="1" applyFont="1" applyFill="1" applyBorder="1" applyAlignment="1" applyProtection="1">
      <alignment horizontal="center" vertical="center" wrapText="1"/>
    </xf>
    <xf numFmtId="166" fontId="55" fillId="23" borderId="138" xfId="5" applyNumberFormat="1" applyFont="1" applyFill="1" applyBorder="1" applyAlignment="1" applyProtection="1">
      <alignment horizontal="center" vertical="center" wrapText="1"/>
    </xf>
    <xf numFmtId="166" fontId="55" fillId="20" borderId="139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6" fontId="55" fillId="23" borderId="41" xfId="5" applyNumberFormat="1" applyFont="1" applyFill="1" applyBorder="1" applyAlignment="1" applyProtection="1">
      <alignment horizontal="center" vertical="center" wrapText="1"/>
    </xf>
    <xf numFmtId="166" fontId="55" fillId="23" borderId="17" xfId="5" applyNumberFormat="1" applyFont="1" applyFill="1" applyBorder="1" applyAlignment="1" applyProtection="1">
      <alignment horizontal="center" vertical="center" wrapText="1"/>
    </xf>
    <xf numFmtId="166" fontId="55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6" fontId="56" fillId="20" borderId="15" xfId="5" applyNumberFormat="1" applyFont="1" applyFill="1" applyBorder="1" applyAlignment="1" applyProtection="1">
      <alignment horizontal="center" vertical="center" wrapText="1"/>
    </xf>
    <xf numFmtId="166" fontId="56" fillId="20" borderId="26" xfId="5" applyNumberFormat="1" applyFont="1" applyFill="1" applyBorder="1" applyAlignment="1" applyProtection="1">
      <alignment horizontal="center" vertical="center" wrapText="1"/>
    </xf>
    <xf numFmtId="166" fontId="56" fillId="20" borderId="5" xfId="5" applyNumberFormat="1" applyFont="1" applyFill="1" applyBorder="1" applyAlignment="1" applyProtection="1">
      <alignment horizontal="center" vertical="center" wrapText="1"/>
    </xf>
    <xf numFmtId="166" fontId="55" fillId="23" borderId="85" xfId="5" applyNumberFormat="1" applyFont="1" applyFill="1" applyBorder="1" applyAlignment="1" applyProtection="1">
      <alignment horizontal="center" vertical="center" wrapText="1"/>
    </xf>
    <xf numFmtId="166" fontId="55" fillId="23" borderId="56" xfId="5" applyNumberFormat="1" applyFont="1" applyFill="1" applyBorder="1" applyAlignment="1" applyProtection="1">
      <alignment horizontal="center" vertical="center" wrapText="1"/>
    </xf>
    <xf numFmtId="166" fontId="55" fillId="23" borderId="128" xfId="5" applyNumberFormat="1" applyFont="1" applyFill="1" applyBorder="1" applyAlignment="1" applyProtection="1">
      <alignment horizontal="center" vertical="center" wrapText="1"/>
    </xf>
    <xf numFmtId="166" fontId="55" fillId="23" borderId="84" xfId="5" applyNumberFormat="1" applyFont="1" applyFill="1" applyBorder="1" applyAlignment="1" applyProtection="1">
      <alignment horizontal="center" vertical="center" wrapText="1"/>
    </xf>
    <xf numFmtId="166" fontId="55" fillId="23" borderId="53" xfId="5" applyNumberFormat="1" applyFont="1" applyFill="1" applyBorder="1" applyAlignment="1" applyProtection="1">
      <alignment horizontal="center" vertical="center" wrapText="1"/>
    </xf>
    <xf numFmtId="166" fontId="55" fillId="23" borderId="129" xfId="5" applyNumberFormat="1" applyFont="1" applyFill="1" applyBorder="1" applyAlignment="1" applyProtection="1">
      <alignment horizontal="center" vertical="center" wrapText="1"/>
    </xf>
    <xf numFmtId="166" fontId="55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7" fontId="56" fillId="20" borderId="24" xfId="5" applyNumberFormat="1" applyFont="1" applyFill="1" applyBorder="1" applyAlignment="1" applyProtection="1">
      <alignment horizontal="center" vertical="center" wrapText="1"/>
    </xf>
    <xf numFmtId="167" fontId="56" fillId="20" borderId="0" xfId="5" applyNumberFormat="1" applyFont="1" applyFill="1" applyBorder="1" applyAlignment="1" applyProtection="1">
      <alignment horizontal="center" vertical="center" wrapText="1"/>
    </xf>
    <xf numFmtId="167" fontId="56" fillId="20" borderId="6" xfId="5" applyNumberFormat="1" applyFont="1" applyFill="1" applyBorder="1" applyAlignment="1" applyProtection="1">
      <alignment horizontal="center" vertical="center" wrapText="1"/>
    </xf>
    <xf numFmtId="167" fontId="55" fillId="23" borderId="84" xfId="5" applyNumberFormat="1" applyFont="1" applyFill="1" applyBorder="1" applyAlignment="1" applyProtection="1">
      <alignment horizontal="center" vertical="center" wrapText="1"/>
    </xf>
    <xf numFmtId="167" fontId="55" fillId="23" borderId="53" xfId="5" applyNumberFormat="1" applyFont="1" applyFill="1" applyBorder="1" applyAlignment="1" applyProtection="1">
      <alignment horizontal="center" vertical="center" wrapText="1"/>
    </xf>
    <xf numFmtId="167" fontId="55" fillId="20" borderId="53" xfId="5" applyNumberFormat="1" applyFont="1" applyFill="1" applyBorder="1" applyAlignment="1" applyProtection="1">
      <alignment horizontal="center" vertical="center" wrapText="1"/>
    </xf>
    <xf numFmtId="167" fontId="55" fillId="23" borderId="129" xfId="5" applyNumberFormat="1" applyFont="1" applyFill="1" applyBorder="1" applyAlignment="1" applyProtection="1">
      <alignment horizontal="center" vertical="center" wrapText="1"/>
    </xf>
    <xf numFmtId="167" fontId="55" fillId="20" borderId="97" xfId="5" applyNumberFormat="1" applyFont="1" applyFill="1" applyBorder="1" applyAlignment="1" applyProtection="1">
      <alignment horizontal="center" vertical="center" wrapText="1"/>
    </xf>
    <xf numFmtId="167" fontId="55" fillId="23" borderId="41" xfId="5" applyNumberFormat="1" applyFont="1" applyFill="1" applyBorder="1" applyAlignment="1" applyProtection="1">
      <alignment horizontal="center" vertical="center" wrapText="1"/>
    </xf>
    <xf numFmtId="167" fontId="55" fillId="23" borderId="17" xfId="5" applyNumberFormat="1" applyFont="1" applyFill="1" applyBorder="1" applyAlignment="1" applyProtection="1">
      <alignment horizontal="center" vertical="center" wrapText="1"/>
    </xf>
    <xf numFmtId="167" fontId="55" fillId="20" borderId="17" xfId="5" applyNumberFormat="1" applyFont="1" applyFill="1" applyBorder="1" applyAlignment="1" applyProtection="1">
      <alignment horizontal="center" vertical="center" wrapText="1"/>
    </xf>
    <xf numFmtId="167" fontId="55" fillId="23" borderId="127" xfId="5" applyNumberFormat="1" applyFont="1" applyFill="1" applyBorder="1" applyAlignment="1" applyProtection="1">
      <alignment horizontal="center" vertical="center" wrapText="1"/>
    </xf>
    <xf numFmtId="167" fontId="55" fillId="20" borderId="98" xfId="5" applyNumberFormat="1" applyFont="1" applyFill="1" applyBorder="1" applyAlignment="1" applyProtection="1">
      <alignment horizontal="center" vertical="center" wrapText="1"/>
    </xf>
    <xf numFmtId="167" fontId="56" fillId="20" borderId="15" xfId="5" applyNumberFormat="1" applyFont="1" applyFill="1" applyBorder="1" applyAlignment="1" applyProtection="1">
      <alignment horizontal="center" vertical="center" wrapText="1"/>
    </xf>
    <xf numFmtId="167" fontId="56" fillId="20" borderId="26" xfId="5" applyNumberFormat="1" applyFont="1" applyFill="1" applyBorder="1" applyAlignment="1" applyProtection="1">
      <alignment horizontal="center" vertical="center" wrapText="1"/>
    </xf>
    <xf numFmtId="167" fontId="56" fillId="20" borderId="5" xfId="5" applyNumberFormat="1" applyFont="1" applyFill="1" applyBorder="1" applyAlignment="1" applyProtection="1">
      <alignment horizontal="center" vertical="center" wrapText="1"/>
    </xf>
    <xf numFmtId="167" fontId="55" fillId="23" borderId="85" xfId="5" applyNumberFormat="1" applyFont="1" applyFill="1" applyBorder="1" applyAlignment="1" applyProtection="1">
      <alignment horizontal="center" vertical="center" wrapText="1"/>
    </xf>
    <xf numFmtId="167" fontId="55" fillId="23" borderId="56" xfId="5" applyNumberFormat="1" applyFont="1" applyFill="1" applyBorder="1" applyAlignment="1" applyProtection="1">
      <alignment horizontal="center" vertical="center" wrapText="1"/>
    </xf>
    <xf numFmtId="167" fontId="55" fillId="20" borderId="56" xfId="5" applyNumberFormat="1" applyFont="1" applyFill="1" applyBorder="1" applyAlignment="1" applyProtection="1">
      <alignment horizontal="center" vertical="center" wrapText="1"/>
    </xf>
    <xf numFmtId="167" fontId="55" fillId="23" borderId="128" xfId="5" applyNumberFormat="1" applyFont="1" applyFill="1" applyBorder="1" applyAlignment="1" applyProtection="1">
      <alignment horizontal="center" vertical="center" wrapText="1"/>
    </xf>
    <xf numFmtId="167" fontId="55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8" fillId="4" borderId="80" xfId="2" applyNumberFormat="1" applyBorder="1" applyAlignment="1">
      <alignment horizontal="right"/>
    </xf>
    <xf numFmtId="3" fontId="8" fillId="4" borderId="93" xfId="2" applyNumberFormat="1" applyBorder="1" applyProtection="1">
      <protection locked="0"/>
    </xf>
    <xf numFmtId="3" fontId="8" fillId="4" borderId="36" xfId="2" applyNumberFormat="1" applyBorder="1" applyProtection="1">
      <protection locked="0"/>
    </xf>
    <xf numFmtId="3" fontId="8" fillId="4" borderId="78" xfId="2" applyNumberFormat="1" applyBorder="1" applyProtection="1">
      <protection locked="0"/>
    </xf>
    <xf numFmtId="0" fontId="6" fillId="26" borderId="4" xfId="0" applyFont="1" applyFill="1" applyBorder="1" applyAlignment="1">
      <alignment horizontal="left" vertical="top" wrapText="1"/>
    </xf>
    <xf numFmtId="0" fontId="6" fillId="26" borderId="5" xfId="0" applyFont="1" applyFill="1" applyBorder="1" applyAlignment="1">
      <alignment horizontal="justify" vertical="top" wrapText="1"/>
    </xf>
    <xf numFmtId="0" fontId="6" fillId="26" borderId="5" xfId="0" applyFont="1" applyFill="1" applyBorder="1" applyAlignment="1">
      <alignment horizontal="center" vertical="top" wrapText="1"/>
    </xf>
    <xf numFmtId="0" fontId="6" fillId="26" borderId="6" xfId="0" applyFont="1" applyFill="1" applyBorder="1" applyAlignment="1">
      <alignment horizontal="justify" vertical="top" wrapText="1"/>
    </xf>
    <xf numFmtId="0" fontId="6" fillId="26" borderId="24" xfId="0" applyFont="1" applyFill="1" applyBorder="1" applyAlignment="1">
      <alignment horizontal="left" vertical="top" wrapText="1"/>
    </xf>
    <xf numFmtId="0" fontId="6" fillId="26" borderId="69" xfId="0" applyFont="1" applyFill="1" applyBorder="1" applyAlignment="1">
      <alignment horizontal="justify" vertical="top" wrapText="1"/>
    </xf>
    <xf numFmtId="0" fontId="6" fillId="26" borderId="6" xfId="0" applyFont="1" applyFill="1" applyBorder="1" applyAlignment="1">
      <alignment horizontal="center" vertical="top" wrapText="1"/>
    </xf>
    <xf numFmtId="0" fontId="6" fillId="26" borderId="69" xfId="0" applyFont="1" applyFill="1" applyBorder="1" applyAlignment="1">
      <alignment horizontal="left" vertical="top" wrapText="1"/>
    </xf>
    <xf numFmtId="0" fontId="6" fillId="26" borderId="69" xfId="0" applyFont="1" applyFill="1" applyBorder="1" applyAlignment="1">
      <alignment horizontal="center" vertical="top" wrapText="1"/>
    </xf>
    <xf numFmtId="2" fontId="4" fillId="17" borderId="6" xfId="1" applyNumberFormat="1" applyFont="1" applyFill="1" applyBorder="1" applyAlignment="1">
      <alignment vertical="top" wrapText="1"/>
    </xf>
    <xf numFmtId="2" fontId="4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4" fontId="9" fillId="19" borderId="146" xfId="5" applyNumberFormat="1" applyFont="1" applyFill="1" applyBorder="1" applyProtection="1"/>
    <xf numFmtId="0" fontId="54" fillId="0" borderId="0" xfId="0" applyFont="1" applyFill="1" applyProtection="1"/>
    <xf numFmtId="0" fontId="9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8" fillId="17" borderId="158" xfId="7" applyFont="1" applyFill="1" applyBorder="1" applyAlignment="1">
      <alignment horizontal="left" vertical="center"/>
    </xf>
    <xf numFmtId="0" fontId="38" fillId="17" borderId="159" xfId="0" applyFont="1" applyFill="1" applyBorder="1" applyAlignment="1">
      <alignment horizontal="left" vertical="center"/>
    </xf>
    <xf numFmtId="44" fontId="38" fillId="17" borderId="161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8" fillId="17" borderId="159" xfId="0" applyFont="1" applyFill="1" applyBorder="1" applyAlignment="1">
      <alignment horizontal="center" vertical="center"/>
    </xf>
    <xf numFmtId="0" fontId="38" fillId="17" borderId="135" xfId="0" applyFont="1" applyFill="1" applyBorder="1" applyAlignment="1">
      <alignment horizontal="center" vertical="center"/>
    </xf>
    <xf numFmtId="44" fontId="55" fillId="20" borderId="160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8" fillId="17" borderId="135" xfId="7" applyFont="1" applyFill="1" applyBorder="1" applyAlignment="1">
      <alignment horizontal="center" vertical="center"/>
    </xf>
    <xf numFmtId="164" fontId="61" fillId="19" borderId="22" xfId="5" applyNumberFormat="1" applyFont="1" applyFill="1" applyBorder="1" applyProtection="1"/>
    <xf numFmtId="164" fontId="61" fillId="19" borderId="125" xfId="5" applyNumberFormat="1" applyFont="1" applyFill="1" applyBorder="1" applyProtection="1"/>
    <xf numFmtId="164" fontId="61" fillId="19" borderId="146" xfId="5" applyNumberFormat="1" applyFont="1" applyFill="1" applyBorder="1" applyProtection="1"/>
    <xf numFmtId="164" fontId="56" fillId="22" borderId="22" xfId="5" applyNumberFormat="1" applyFont="1" applyFill="1" applyBorder="1" applyProtection="1"/>
    <xf numFmtId="164" fontId="56" fillId="22" borderId="125" xfId="5" applyNumberFormat="1" applyFont="1" applyFill="1" applyBorder="1" applyProtection="1"/>
    <xf numFmtId="164" fontId="56" fillId="22" borderId="146" xfId="5" applyNumberFormat="1" applyFont="1" applyFill="1" applyBorder="1" applyProtection="1"/>
    <xf numFmtId="164" fontId="62" fillId="21" borderId="22" xfId="5" applyNumberFormat="1" applyFont="1" applyFill="1" applyBorder="1" applyProtection="1"/>
    <xf numFmtId="164" fontId="62" fillId="21" borderId="125" xfId="5" applyNumberFormat="1" applyFont="1" applyFill="1" applyBorder="1" applyProtection="1"/>
    <xf numFmtId="164" fontId="62" fillId="21" borderId="146" xfId="5" applyNumberFormat="1" applyFont="1" applyFill="1" applyBorder="1" applyProtection="1"/>
    <xf numFmtId="164" fontId="62" fillId="21" borderId="22" xfId="5" applyNumberFormat="1" applyFont="1" applyFill="1" applyBorder="1" applyAlignment="1" applyProtection="1">
      <alignment horizontal="center"/>
    </xf>
    <xf numFmtId="164" fontId="62" fillId="21" borderId="125" xfId="5" applyNumberFormat="1" applyFont="1" applyFill="1" applyBorder="1" applyAlignment="1" applyProtection="1">
      <alignment horizontal="center"/>
    </xf>
    <xf numFmtId="164" fontId="62" fillId="21" borderId="146" xfId="5" applyNumberFormat="1" applyFont="1" applyFill="1" applyBorder="1" applyAlignment="1" applyProtection="1">
      <alignment horizontal="center"/>
    </xf>
    <xf numFmtId="164" fontId="62" fillId="21" borderId="86" xfId="5" applyNumberFormat="1" applyFont="1" applyFill="1" applyBorder="1" applyProtection="1"/>
    <xf numFmtId="164" fontId="62" fillId="21" borderId="122" xfId="5" applyNumberFormat="1" applyFont="1" applyFill="1" applyBorder="1" applyProtection="1"/>
    <xf numFmtId="164" fontId="62" fillId="21" borderId="153" xfId="5" applyNumberFormat="1" applyFont="1" applyFill="1" applyBorder="1" applyProtection="1"/>
    <xf numFmtId="164" fontId="62" fillId="21" borderId="147" xfId="5" applyNumberFormat="1" applyFont="1" applyFill="1" applyBorder="1" applyProtection="1"/>
    <xf numFmtId="0" fontId="66" fillId="13" borderId="6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2" xfId="3" applyFont="1" applyFill="1" applyBorder="1" applyAlignment="1">
      <alignment horizontal="center"/>
    </xf>
    <xf numFmtId="0" fontId="63" fillId="22" borderId="65" xfId="0" applyFont="1" applyFill="1" applyBorder="1" applyAlignment="1">
      <alignment horizontal="center" vertical="center"/>
    </xf>
    <xf numFmtId="0" fontId="63" fillId="22" borderId="64" xfId="0" applyFont="1" applyFill="1" applyBorder="1" applyAlignment="1">
      <alignment horizontal="center" vertical="center"/>
    </xf>
    <xf numFmtId="0" fontId="56" fillId="22" borderId="119" xfId="0" applyFont="1" applyFill="1" applyBorder="1"/>
    <xf numFmtId="0" fontId="56" fillId="22" borderId="60" xfId="0" applyFont="1" applyFill="1" applyBorder="1"/>
    <xf numFmtId="0" fontId="56" fillId="22" borderId="22" xfId="0" applyFont="1" applyFill="1" applyBorder="1"/>
    <xf numFmtId="0" fontId="56" fillId="22" borderId="113" xfId="0" applyFont="1" applyFill="1" applyBorder="1"/>
    <xf numFmtId="0" fontId="56" fillId="22" borderId="86" xfId="0" applyFont="1" applyFill="1" applyBorder="1"/>
    <xf numFmtId="0" fontId="56" fillId="22" borderId="116" xfId="0" applyFont="1" applyFill="1" applyBorder="1"/>
    <xf numFmtId="0" fontId="56" fillId="22" borderId="115" xfId="0" applyFont="1" applyFill="1" applyBorder="1"/>
    <xf numFmtId="4" fontId="65" fillId="24" borderId="51" xfId="2" applyNumberFormat="1" applyFont="1" applyFill="1" applyBorder="1" applyAlignment="1">
      <alignment horizontal="right" vertical="top" wrapText="1"/>
    </xf>
    <xf numFmtId="4" fontId="65" fillId="24" borderId="42" xfId="2" applyNumberFormat="1" applyFont="1" applyFill="1" applyBorder="1" applyAlignment="1">
      <alignment horizontal="right" vertical="top" wrapText="1"/>
    </xf>
    <xf numFmtId="4" fontId="65" fillId="24" borderId="52" xfId="2" applyNumberFormat="1" applyFont="1" applyFill="1" applyBorder="1" applyAlignment="1">
      <alignment horizontal="right" vertical="top" wrapText="1"/>
    </xf>
    <xf numFmtId="4" fontId="65" fillId="24" borderId="106" xfId="2" applyNumberFormat="1" applyFont="1" applyFill="1" applyBorder="1" applyAlignment="1">
      <alignment horizontal="right" vertical="top" wrapText="1"/>
    </xf>
    <xf numFmtId="4" fontId="65" fillId="24" borderId="95" xfId="2" applyNumberFormat="1" applyFont="1" applyFill="1" applyBorder="1" applyAlignment="1">
      <alignment horizontal="right" vertical="top" wrapText="1"/>
    </xf>
    <xf numFmtId="4" fontId="65" fillId="24" borderId="109" xfId="2" applyNumberFormat="1" applyFont="1" applyFill="1" applyBorder="1" applyAlignment="1">
      <alignment horizontal="right" vertical="top" wrapText="1"/>
    </xf>
    <xf numFmtId="4" fontId="65" fillId="24" borderId="107" xfId="2" applyNumberFormat="1" applyFont="1" applyFill="1" applyBorder="1" applyAlignment="1">
      <alignment horizontal="right" vertical="top" wrapText="1"/>
    </xf>
    <xf numFmtId="4" fontId="65" fillId="24" borderId="46" xfId="2" applyNumberFormat="1" applyFont="1" applyFill="1" applyBorder="1" applyAlignment="1">
      <alignment horizontal="right" vertical="top" wrapText="1"/>
    </xf>
    <xf numFmtId="4" fontId="65" fillId="24" borderId="45" xfId="2" applyNumberFormat="1" applyFont="1" applyFill="1" applyBorder="1" applyAlignment="1">
      <alignment horizontal="right" vertical="top" wrapText="1"/>
    </xf>
    <xf numFmtId="4" fontId="64" fillId="24" borderId="26" xfId="1" applyNumberFormat="1" applyFont="1" applyFill="1" applyBorder="1" applyAlignment="1">
      <alignment horizontal="right" vertical="top" wrapText="1"/>
    </xf>
    <xf numFmtId="4" fontId="65" fillId="24" borderId="44" xfId="2" applyNumberFormat="1" applyFont="1" applyFill="1" applyBorder="1" applyAlignment="1">
      <alignment horizontal="right" vertical="top" wrapText="1"/>
    </xf>
    <xf numFmtId="4" fontId="65" fillId="24" borderId="108" xfId="2" applyNumberFormat="1" applyFont="1" applyFill="1" applyBorder="1" applyAlignment="1">
      <alignment horizontal="right" vertical="top" wrapText="1"/>
    </xf>
    <xf numFmtId="4" fontId="65" fillId="24" borderId="43" xfId="2" applyNumberFormat="1" applyFont="1" applyFill="1" applyBorder="1" applyAlignment="1">
      <alignment horizontal="right" vertical="top" wrapText="1"/>
    </xf>
    <xf numFmtId="0" fontId="65" fillId="24" borderId="70" xfId="0" applyFont="1" applyFill="1" applyBorder="1" applyAlignment="1">
      <alignment horizontal="left" vertical="top" wrapText="1"/>
    </xf>
    <xf numFmtId="164" fontId="65" fillId="24" borderId="110" xfId="5" applyNumberFormat="1" applyFont="1" applyFill="1" applyBorder="1" applyAlignment="1">
      <alignment horizontal="right" vertical="top" wrapText="1"/>
    </xf>
    <xf numFmtId="164" fontId="65" fillId="24" borderId="111" xfId="5" applyNumberFormat="1" applyFont="1" applyFill="1" applyBorder="1" applyAlignment="1">
      <alignment horizontal="right" vertical="top" wrapText="1"/>
    </xf>
    <xf numFmtId="164" fontId="65" fillId="24" borderId="112" xfId="5" applyNumberFormat="1" applyFont="1" applyFill="1" applyBorder="1" applyAlignment="1">
      <alignment horizontal="right" vertical="top" wrapText="1"/>
    </xf>
    <xf numFmtId="164" fontId="65" fillId="24" borderId="47" xfId="5" applyNumberFormat="1" applyFont="1" applyFill="1" applyBorder="1" applyAlignment="1">
      <alignment horizontal="right" vertical="top" wrapText="1"/>
    </xf>
    <xf numFmtId="164" fontId="65" fillId="24" borderId="48" xfId="5" applyNumberFormat="1" applyFont="1" applyFill="1" applyBorder="1" applyAlignment="1">
      <alignment horizontal="right" vertical="top" wrapText="1"/>
    </xf>
    <xf numFmtId="164" fontId="65" fillId="24" borderId="49" xfId="5" applyNumberFormat="1" applyFont="1" applyFill="1" applyBorder="1" applyAlignment="1">
      <alignment horizontal="right" vertical="top" wrapText="1"/>
    </xf>
    <xf numFmtId="0" fontId="39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6" fillId="13" borderId="5" xfId="0" applyFont="1" applyFill="1" applyBorder="1" applyAlignment="1">
      <alignment horizontal="center" vertical="center"/>
    </xf>
    <xf numFmtId="0" fontId="41" fillId="17" borderId="162" xfId="0" applyFont="1" applyFill="1" applyBorder="1" applyAlignment="1">
      <alignment horizontal="center" vertical="center"/>
    </xf>
    <xf numFmtId="0" fontId="41" fillId="17" borderId="163" xfId="0" applyFont="1" applyFill="1" applyBorder="1" applyAlignment="1">
      <alignment horizontal="center" vertical="center"/>
    </xf>
    <xf numFmtId="0" fontId="41" fillId="17" borderId="164" xfId="0" applyFont="1" applyFill="1" applyBorder="1" applyAlignment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/>
    </xf>
    <xf numFmtId="0" fontId="9" fillId="0" borderId="125" xfId="0" applyNumberFormat="1" applyFont="1" applyBorder="1" applyAlignment="1" applyProtection="1">
      <alignment horizontal="center" vertical="center"/>
    </xf>
    <xf numFmtId="0" fontId="9" fillId="0" borderId="89" xfId="0" applyFont="1" applyBorder="1" applyAlignment="1" applyProtection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 wrapText="1"/>
    </xf>
    <xf numFmtId="164" fontId="62" fillId="0" borderId="122" xfId="5" applyNumberFormat="1" applyFont="1" applyFill="1" applyBorder="1" applyProtection="1"/>
    <xf numFmtId="164" fontId="62" fillId="0" borderId="18" xfId="5" applyNumberFormat="1" applyFont="1" applyFill="1" applyBorder="1" applyProtection="1"/>
    <xf numFmtId="164" fontId="56" fillId="22" borderId="22" xfId="5" applyNumberFormat="1" applyFont="1" applyFill="1" applyBorder="1" applyAlignment="1" applyProtection="1">
      <alignment horizontal="center"/>
    </xf>
    <xf numFmtId="164" fontId="62" fillId="21" borderId="86" xfId="5" applyNumberFormat="1" applyFont="1" applyFill="1" applyBorder="1" applyAlignment="1" applyProtection="1">
      <alignment horizontal="center"/>
    </xf>
    <xf numFmtId="164" fontId="61" fillId="19" borderId="22" xfId="5" applyNumberFormat="1" applyFont="1" applyFill="1" applyBorder="1" applyAlignment="1" applyProtection="1">
      <alignment horizontal="center"/>
    </xf>
    <xf numFmtId="164" fontId="62" fillId="22" borderId="22" xfId="5" applyNumberFormat="1" applyFont="1" applyFill="1" applyBorder="1" applyProtection="1"/>
    <xf numFmtId="164" fontId="62" fillId="22" borderId="125" xfId="5" applyNumberFormat="1" applyFont="1" applyFill="1" applyBorder="1" applyProtection="1"/>
    <xf numFmtId="164" fontId="33" fillId="0" borderId="18" xfId="5" applyNumberFormat="1" applyFont="1" applyFill="1" applyBorder="1" applyProtection="1"/>
    <xf numFmtId="164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68" fillId="0" borderId="0" xfId="0" applyFont="1"/>
    <xf numFmtId="0" fontId="69" fillId="0" borderId="0" xfId="0" applyFont="1"/>
    <xf numFmtId="0" fontId="68" fillId="0" borderId="0" xfId="0" applyFont="1" applyBorder="1"/>
    <xf numFmtId="8" fontId="38" fillId="17" borderId="159" xfId="7" applyNumberFormat="1" applyFont="1" applyFill="1" applyBorder="1" applyAlignment="1">
      <alignment horizontal="center" vertical="center"/>
    </xf>
    <xf numFmtId="8" fontId="38" fillId="17" borderId="135" xfId="7" applyNumberFormat="1" applyFont="1" applyFill="1" applyBorder="1" applyAlignment="1">
      <alignment horizontal="center" vertical="center"/>
    </xf>
    <xf numFmtId="49" fontId="70" fillId="0" borderId="0" xfId="0" applyNumberFormat="1" applyFont="1"/>
    <xf numFmtId="0" fontId="70" fillId="0" borderId="0" xfId="0" applyFont="1"/>
    <xf numFmtId="0" fontId="72" fillId="12" borderId="8" xfId="0" applyFont="1" applyFill="1" applyBorder="1" applyAlignment="1">
      <alignment horizontal="left" vertical="center"/>
    </xf>
    <xf numFmtId="0" fontId="72" fillId="12" borderId="23" xfId="0" applyFont="1" applyFill="1" applyBorder="1" applyAlignment="1">
      <alignment horizontal="left" vertical="center"/>
    </xf>
    <xf numFmtId="0" fontId="72" fillId="12" borderId="14" xfId="0" applyFont="1" applyFill="1" applyBorder="1" applyAlignment="1">
      <alignment horizontal="center" vertical="center"/>
    </xf>
    <xf numFmtId="0" fontId="72" fillId="12" borderId="23" xfId="0" applyFont="1" applyFill="1" applyBorder="1" applyAlignment="1">
      <alignment horizontal="center" vertical="center"/>
    </xf>
    <xf numFmtId="0" fontId="72" fillId="12" borderId="13" xfId="0" applyFont="1" applyFill="1" applyBorder="1" applyAlignment="1">
      <alignment horizontal="center" vertical="center"/>
    </xf>
    <xf numFmtId="0" fontId="72" fillId="12" borderId="14" xfId="0" applyFont="1" applyFill="1" applyBorder="1" applyAlignment="1">
      <alignment horizontal="center" vertical="center" wrapText="1"/>
    </xf>
    <xf numFmtId="0" fontId="72" fillId="12" borderId="2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49" fontId="71" fillId="0" borderId="0" xfId="0" applyNumberFormat="1" applyFont="1"/>
    <xf numFmtId="0" fontId="71" fillId="0" borderId="0" xfId="0" applyFont="1"/>
    <xf numFmtId="0" fontId="72" fillId="12" borderId="80" xfId="0" applyFont="1" applyFill="1" applyBorder="1" applyAlignment="1">
      <alignment vertical="top"/>
    </xf>
    <xf numFmtId="0" fontId="72" fillId="12" borderId="0" xfId="0" applyFont="1" applyFill="1" applyBorder="1" applyAlignment="1">
      <alignment vertical="top"/>
    </xf>
    <xf numFmtId="0" fontId="72" fillId="12" borderId="24" xfId="0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center" vertical="center"/>
    </xf>
    <xf numFmtId="0" fontId="72" fillId="12" borderId="6" xfId="0" applyFont="1" applyFill="1" applyBorder="1" applyAlignment="1">
      <alignment horizontal="center" vertical="center"/>
    </xf>
    <xf numFmtId="0" fontId="72" fillId="12" borderId="24" xfId="0" applyFont="1" applyFill="1" applyBorder="1" applyAlignment="1">
      <alignment horizontal="center" vertical="center" wrapText="1"/>
    </xf>
    <xf numFmtId="0" fontId="72" fillId="12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top" wrapText="1"/>
    </xf>
    <xf numFmtId="0" fontId="69" fillId="17" borderId="135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6" xfId="0" applyFont="1" applyFill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0" xfId="0" applyFont="1" applyFill="1" applyBorder="1" applyAlignment="1">
      <alignment horizontal="left"/>
    </xf>
    <xf numFmtId="0" fontId="75" fillId="17" borderId="135" xfId="0" applyFont="1" applyFill="1" applyBorder="1" applyAlignment="1">
      <alignment horizontal="left" vertical="center"/>
    </xf>
    <xf numFmtId="0" fontId="73" fillId="0" borderId="24" xfId="0" applyFont="1" applyFill="1" applyBorder="1" applyAlignment="1">
      <alignment horizontal="center" vertical="center"/>
    </xf>
    <xf numFmtId="0" fontId="74" fillId="22" borderId="131" xfId="0" applyFont="1" applyFill="1" applyBorder="1" applyAlignment="1">
      <alignment horizontal="center" vertical="center"/>
    </xf>
    <xf numFmtId="0" fontId="74" fillId="22" borderId="130" xfId="0" applyFont="1" applyFill="1" applyBorder="1" applyAlignment="1">
      <alignment horizontal="center" vertical="center"/>
    </xf>
    <xf numFmtId="0" fontId="68" fillId="0" borderId="131" xfId="0" applyFont="1" applyFill="1" applyBorder="1" applyAlignment="1">
      <alignment horizontal="center" vertical="center"/>
    </xf>
    <xf numFmtId="0" fontId="68" fillId="0" borderId="130" xfId="0" applyFont="1" applyFill="1" applyBorder="1" applyAlignment="1">
      <alignment horizontal="center" vertical="center"/>
    </xf>
    <xf numFmtId="0" fontId="76" fillId="14" borderId="15" xfId="0" applyFont="1" applyFill="1" applyBorder="1" applyAlignment="1">
      <alignment horizontal="left" vertical="center"/>
    </xf>
    <xf numFmtId="0" fontId="76" fillId="14" borderId="29" xfId="0" applyFont="1" applyFill="1" applyBorder="1"/>
    <xf numFmtId="0" fontId="76" fillId="14" borderId="29" xfId="0" applyFont="1" applyFill="1" applyBorder="1" applyAlignment="1">
      <alignment horizontal="center" vertical="center"/>
    </xf>
    <xf numFmtId="0" fontId="76" fillId="14" borderId="26" xfId="0" applyFont="1" applyFill="1" applyBorder="1" applyAlignment="1">
      <alignment horizontal="center" vertical="center"/>
    </xf>
    <xf numFmtId="0" fontId="68" fillId="0" borderId="0" xfId="0" applyFont="1" applyFill="1"/>
    <xf numFmtId="0" fontId="68" fillId="0" borderId="0" xfId="0" applyFont="1" applyAlignment="1"/>
    <xf numFmtId="0" fontId="78" fillId="0" borderId="24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6" xfId="0" applyFont="1" applyFill="1" applyBorder="1" applyAlignment="1">
      <alignment horizontal="center" vertical="center"/>
    </xf>
    <xf numFmtId="0" fontId="9" fillId="0" borderId="89" xfId="0" applyFont="1" applyBorder="1" applyAlignment="1" applyProtection="1">
      <alignment horizontal="center" vertical="center" wrapText="1"/>
    </xf>
    <xf numFmtId="0" fontId="10" fillId="6" borderId="22" xfId="0" applyFont="1" applyFill="1" applyBorder="1" applyAlignment="1">
      <alignment horizontal="center" wrapText="1"/>
    </xf>
    <xf numFmtId="0" fontId="0" fillId="17" borderId="22" xfId="0" applyFill="1" applyBorder="1" applyAlignment="1">
      <alignment horizontal="center" wrapText="1"/>
    </xf>
    <xf numFmtId="169" fontId="0" fillId="17" borderId="60" xfId="0" applyNumberFormat="1" applyFill="1" applyBorder="1"/>
    <xf numFmtId="169" fontId="0" fillId="17" borderId="22" xfId="0" applyNumberFormat="1" applyFill="1" applyBorder="1"/>
    <xf numFmtId="169" fontId="68" fillId="0" borderId="0" xfId="0" applyNumberFormat="1" applyFont="1"/>
    <xf numFmtId="169" fontId="72" fillId="12" borderId="23" xfId="0" applyNumberFormat="1" applyFont="1" applyFill="1" applyBorder="1" applyAlignment="1">
      <alignment horizontal="center" vertical="center" wrapText="1"/>
    </xf>
    <xf numFmtId="169" fontId="72" fillId="12" borderId="14" xfId="0" applyNumberFormat="1" applyFont="1" applyFill="1" applyBorder="1" applyAlignment="1">
      <alignment horizontal="center" vertical="center" wrapText="1"/>
    </xf>
    <xf numFmtId="169" fontId="72" fillId="12" borderId="13" xfId="0" applyNumberFormat="1" applyFont="1" applyFill="1" applyBorder="1" applyAlignment="1">
      <alignment horizontal="center" vertical="center" wrapText="1"/>
    </xf>
    <xf numFmtId="169" fontId="72" fillId="12" borderId="0" xfId="0" applyNumberFormat="1" applyFont="1" applyFill="1" applyBorder="1" applyAlignment="1">
      <alignment horizontal="center" vertical="center" wrapText="1"/>
    </xf>
    <xf numFmtId="169" fontId="72" fillId="12" borderId="24" xfId="0" applyNumberFormat="1" applyFont="1" applyFill="1" applyBorder="1" applyAlignment="1">
      <alignment horizontal="center" vertical="center" wrapText="1"/>
    </xf>
    <xf numFmtId="169" fontId="72" fillId="12" borderId="6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Border="1" applyAlignment="1">
      <alignment horizontal="center" vertical="center"/>
    </xf>
    <xf numFmtId="169" fontId="74" fillId="22" borderId="24" xfId="0" applyNumberFormat="1" applyFont="1" applyFill="1" applyBorder="1" applyAlignment="1">
      <alignment horizontal="center" vertical="center"/>
    </xf>
    <xf numFmtId="169" fontId="74" fillId="22" borderId="6" xfId="0" applyNumberFormat="1" applyFont="1" applyFill="1" applyBorder="1" applyAlignment="1">
      <alignment horizontal="center" vertical="center"/>
    </xf>
    <xf numFmtId="169" fontId="76" fillId="14" borderId="26" xfId="0" applyNumberFormat="1" applyFont="1" applyFill="1" applyBorder="1" applyAlignment="1">
      <alignment horizontal="center" vertical="center"/>
    </xf>
    <xf numFmtId="169" fontId="77" fillId="14" borderId="28" xfId="0" applyNumberFormat="1" applyFont="1" applyFill="1" applyBorder="1" applyAlignment="1">
      <alignment horizontal="center" vertical="center"/>
    </xf>
    <xf numFmtId="169" fontId="77" fillId="14" borderId="30" xfId="0" applyNumberFormat="1" applyFont="1" applyFill="1" applyBorder="1" applyAlignment="1">
      <alignment horizontal="center" vertical="center"/>
    </xf>
    <xf numFmtId="169" fontId="68" fillId="0" borderId="0" xfId="0" applyNumberFormat="1" applyFont="1" applyAlignment="1">
      <alignment horizontal="right"/>
    </xf>
    <xf numFmtId="170" fontId="78" fillId="0" borderId="0" xfId="0" applyNumberFormat="1" applyFont="1"/>
    <xf numFmtId="49" fontId="0" fillId="0" borderId="0" xfId="0" applyNumberFormat="1"/>
    <xf numFmtId="0" fontId="48" fillId="0" borderId="0" xfId="0" applyFont="1"/>
    <xf numFmtId="0" fontId="0" fillId="18" borderId="0" xfId="0" applyFill="1" applyAlignment="1" applyProtection="1">
      <alignment horizontal="left" vertical="center" wrapText="1"/>
    </xf>
    <xf numFmtId="0" fontId="0" fillId="18" borderId="24" xfId="0" applyFill="1" applyBorder="1" applyAlignment="1" applyProtection="1">
      <alignment horizontal="center" vertical="center" wrapText="1"/>
    </xf>
    <xf numFmtId="0" fontId="0" fillId="18" borderId="0" xfId="0" applyFill="1" applyBorder="1" applyAlignment="1" applyProtection="1">
      <alignment horizontal="center" vertical="center" wrapText="1"/>
    </xf>
    <xf numFmtId="0" fontId="0" fillId="18" borderId="6" xfId="0" applyFill="1" applyBorder="1" applyAlignment="1" applyProtection="1">
      <alignment horizontal="center" vertical="center" wrapText="1"/>
    </xf>
    <xf numFmtId="169" fontId="15" fillId="5" borderId="84" xfId="5" applyNumberFormat="1" applyFont="1" applyFill="1" applyBorder="1" applyAlignment="1" applyProtection="1">
      <alignment horizontal="right" vertical="center" wrapText="1"/>
    </xf>
    <xf numFmtId="169" fontId="15" fillId="5" borderId="53" xfId="5" applyNumberFormat="1" applyFont="1" applyFill="1" applyBorder="1" applyAlignment="1" applyProtection="1">
      <alignment horizontal="right" vertical="center" wrapText="1"/>
    </xf>
    <xf numFmtId="169" fontId="15" fillId="5" borderId="41" xfId="5" applyNumberFormat="1" applyFont="1" applyFill="1" applyBorder="1" applyAlignment="1" applyProtection="1">
      <alignment horizontal="right" vertical="center" wrapText="1"/>
    </xf>
    <xf numFmtId="169" fontId="15" fillId="5" borderId="17" xfId="5" applyNumberFormat="1" applyFont="1" applyFill="1" applyBorder="1" applyAlignment="1" applyProtection="1">
      <alignment horizontal="right" vertical="center" wrapText="1"/>
    </xf>
    <xf numFmtId="169" fontId="15" fillId="5" borderId="85" xfId="5" applyNumberFormat="1" applyFont="1" applyFill="1" applyBorder="1" applyAlignment="1" applyProtection="1">
      <alignment horizontal="right" vertical="center" wrapText="1"/>
    </xf>
    <xf numFmtId="169" fontId="15" fillId="5" borderId="56" xfId="5" applyNumberFormat="1" applyFont="1" applyFill="1" applyBorder="1" applyAlignment="1" applyProtection="1">
      <alignment horizontal="right" vertical="center" wrapText="1"/>
    </xf>
    <xf numFmtId="169" fontId="8" fillId="4" borderId="72" xfId="2" applyNumberFormat="1" applyBorder="1" applyAlignment="1">
      <alignment horizontal="right" vertical="top" wrapText="1"/>
    </xf>
    <xf numFmtId="169" fontId="8" fillId="4" borderId="73" xfId="2" applyNumberFormat="1" applyBorder="1" applyAlignment="1">
      <alignment horizontal="right" vertical="top" wrapText="1"/>
    </xf>
    <xf numFmtId="169" fontId="8" fillId="4" borderId="142" xfId="2" applyNumberFormat="1" applyBorder="1" applyAlignment="1">
      <alignment horizontal="right" vertical="top" wrapText="1"/>
    </xf>
    <xf numFmtId="169" fontId="8" fillId="4" borderId="74" xfId="2" applyNumberFormat="1" applyBorder="1" applyAlignment="1">
      <alignment horizontal="right" vertical="top" wrapText="1"/>
    </xf>
    <xf numFmtId="169" fontId="8" fillId="4" borderId="14" xfId="2" applyNumberFormat="1" applyBorder="1" applyAlignment="1">
      <alignment horizontal="right" vertical="top" wrapText="1"/>
    </xf>
    <xf numFmtId="169" fontId="15" fillId="5" borderId="84" xfId="3" applyNumberFormat="1" applyFont="1" applyBorder="1" applyAlignment="1">
      <alignment horizontal="right" vertical="top" wrapText="1"/>
    </xf>
    <xf numFmtId="169" fontId="15" fillId="5" borderId="53" xfId="3" applyNumberFormat="1" applyFont="1" applyBorder="1" applyAlignment="1">
      <alignment horizontal="right" vertical="top" wrapText="1"/>
    </xf>
    <xf numFmtId="169" fontId="15" fillId="5" borderId="100" xfId="3" applyNumberFormat="1" applyFont="1" applyBorder="1" applyAlignment="1">
      <alignment horizontal="right" vertical="top" wrapText="1"/>
    </xf>
    <xf numFmtId="169" fontId="15" fillId="5" borderId="54" xfId="3" applyNumberFormat="1" applyFont="1" applyBorder="1" applyAlignment="1">
      <alignment horizontal="right" vertical="top" wrapText="1"/>
    </xf>
    <xf numFmtId="169" fontId="8" fillId="4" borderId="24" xfId="2" applyNumberFormat="1" applyBorder="1" applyAlignment="1">
      <alignment horizontal="right" vertical="top" wrapText="1"/>
    </xf>
    <xf numFmtId="169" fontId="15" fillId="5" borderId="41" xfId="3" applyNumberFormat="1" applyFont="1" applyBorder="1" applyAlignment="1">
      <alignment horizontal="right" vertical="top" wrapText="1"/>
    </xf>
    <xf numFmtId="169" fontId="15" fillId="5" borderId="17" xfId="3" applyNumberFormat="1" applyFont="1" applyBorder="1" applyAlignment="1">
      <alignment horizontal="right" vertical="top" wrapText="1"/>
    </xf>
    <xf numFmtId="169" fontId="15" fillId="5" borderId="143" xfId="3" applyNumberFormat="1" applyFont="1" applyBorder="1" applyAlignment="1">
      <alignment horizontal="right" vertical="top" wrapText="1"/>
    </xf>
    <xf numFmtId="169" fontId="15" fillId="5" borderId="55" xfId="3" applyNumberFormat="1" applyFont="1" applyBorder="1" applyAlignment="1">
      <alignment horizontal="right" vertical="top" wrapText="1"/>
    </xf>
    <xf numFmtId="169" fontId="15" fillId="5" borderId="85" xfId="3" applyNumberFormat="1" applyFont="1" applyBorder="1" applyAlignment="1">
      <alignment horizontal="right" vertical="top" wrapText="1"/>
    </xf>
    <xf numFmtId="169" fontId="15" fillId="5" borderId="56" xfId="3" applyNumberFormat="1" applyFont="1" applyBorder="1" applyAlignment="1">
      <alignment horizontal="right" vertical="top" wrapText="1"/>
    </xf>
    <xf numFmtId="169" fontId="15" fillId="5" borderId="144" xfId="3" applyNumberFormat="1" applyFont="1" applyBorder="1" applyAlignment="1">
      <alignment horizontal="right" vertical="top" wrapText="1"/>
    </xf>
    <xf numFmtId="169" fontId="15" fillId="5" borderId="57" xfId="3" applyNumberFormat="1" applyFont="1" applyBorder="1" applyAlignment="1">
      <alignment horizontal="right" vertical="top" wrapText="1"/>
    </xf>
    <xf numFmtId="169" fontId="8" fillId="4" borderId="15" xfId="2" applyNumberFormat="1" applyBorder="1" applyAlignment="1">
      <alignment horizontal="right" vertical="top" wrapText="1"/>
    </xf>
    <xf numFmtId="169" fontId="8" fillId="4" borderId="16" xfId="2" applyNumberFormat="1" applyBorder="1" applyAlignment="1">
      <alignment vertical="top" wrapText="1"/>
    </xf>
    <xf numFmtId="169" fontId="8" fillId="4" borderId="145" xfId="2" applyNumberFormat="1" applyBorder="1" applyAlignment="1">
      <alignment vertical="top" wrapText="1"/>
    </xf>
    <xf numFmtId="169" fontId="8" fillId="4" borderId="37" xfId="2" applyNumberFormat="1" applyBorder="1" applyAlignment="1">
      <alignment vertical="top" wrapText="1"/>
    </xf>
    <xf numFmtId="169" fontId="8" fillId="4" borderId="14" xfId="2" applyNumberFormat="1" applyBorder="1" applyAlignment="1">
      <alignment vertical="top" wrapText="1"/>
    </xf>
    <xf numFmtId="169" fontId="15" fillId="5" borderId="84" xfId="3" applyNumberFormat="1" applyFont="1" applyBorder="1" applyAlignment="1">
      <alignment vertical="top" wrapText="1"/>
    </xf>
    <xf numFmtId="169" fontId="15" fillId="5" borderId="53" xfId="3" applyNumberFormat="1" applyFont="1" applyBorder="1" applyAlignment="1">
      <alignment vertical="top" wrapText="1"/>
    </xf>
    <xf numFmtId="169" fontId="15" fillId="5" borderId="100" xfId="3" applyNumberFormat="1" applyFont="1" applyBorder="1" applyAlignment="1">
      <alignment vertical="top" wrapText="1"/>
    </xf>
    <xf numFmtId="169" fontId="15" fillId="5" borderId="54" xfId="3" applyNumberFormat="1" applyFont="1" applyBorder="1" applyAlignment="1">
      <alignment vertical="top" wrapText="1"/>
    </xf>
    <xf numFmtId="169" fontId="8" fillId="4" borderId="24" xfId="2" applyNumberFormat="1" applyBorder="1" applyAlignment="1">
      <alignment vertical="top" wrapText="1"/>
    </xf>
    <xf numFmtId="169" fontId="15" fillId="5" borderId="41" xfId="3" applyNumberFormat="1" applyFont="1" applyBorder="1" applyAlignment="1">
      <alignment vertical="top" wrapText="1"/>
    </xf>
    <xf numFmtId="169" fontId="15" fillId="5" borderId="17" xfId="3" applyNumberFormat="1" applyFont="1" applyBorder="1" applyAlignment="1">
      <alignment vertical="top" wrapText="1"/>
    </xf>
    <xf numFmtId="169" fontId="15" fillId="5" borderId="143" xfId="3" applyNumberFormat="1" applyFont="1" applyBorder="1" applyAlignment="1">
      <alignment vertical="top" wrapText="1"/>
    </xf>
    <xf numFmtId="169" fontId="15" fillId="5" borderId="55" xfId="3" applyNumberFormat="1" applyFont="1" applyBorder="1" applyAlignment="1">
      <alignment vertical="top" wrapText="1"/>
    </xf>
    <xf numFmtId="169" fontId="8" fillId="4" borderId="15" xfId="2" applyNumberFormat="1" applyBorder="1" applyAlignment="1">
      <alignment vertical="top" wrapText="1"/>
    </xf>
    <xf numFmtId="169" fontId="15" fillId="5" borderId="85" xfId="3" applyNumberFormat="1" applyFont="1" applyBorder="1" applyAlignment="1">
      <alignment vertical="top" wrapText="1"/>
    </xf>
    <xf numFmtId="169" fontId="15" fillId="5" borderId="56" xfId="3" applyNumberFormat="1" applyFont="1" applyBorder="1" applyAlignment="1">
      <alignment vertical="top" wrapText="1"/>
    </xf>
    <xf numFmtId="169" fontId="15" fillId="5" borderId="144" xfId="3" applyNumberFormat="1" applyFont="1" applyBorder="1" applyAlignment="1">
      <alignment vertical="top" wrapText="1"/>
    </xf>
    <xf numFmtId="169" fontId="15" fillId="5" borderId="57" xfId="3" applyNumberFormat="1" applyFont="1" applyBorder="1" applyAlignment="1">
      <alignment vertical="top" wrapText="1"/>
    </xf>
    <xf numFmtId="169" fontId="8" fillId="4" borderId="95" xfId="2" applyNumberFormat="1" applyBorder="1" applyAlignment="1">
      <alignment horizontal="right" vertical="top" wrapText="1"/>
    </xf>
    <xf numFmtId="169" fontId="8" fillId="4" borderId="52" xfId="2" applyNumberFormat="1" applyBorder="1" applyAlignment="1">
      <alignment horizontal="right" vertical="top" wrapText="1"/>
    </xf>
    <xf numFmtId="169" fontId="8" fillId="4" borderId="106" xfId="2" applyNumberFormat="1" applyBorder="1" applyAlignment="1">
      <alignment horizontal="right" vertical="top" wrapText="1"/>
    </xf>
    <xf numFmtId="169" fontId="8" fillId="4" borderId="42" xfId="2" applyNumberFormat="1" applyBorder="1" applyAlignment="1">
      <alignment horizontal="right" vertical="top" wrapText="1"/>
    </xf>
    <xf numFmtId="169" fontId="8" fillId="4" borderId="47" xfId="2" applyNumberFormat="1" applyBorder="1" applyAlignment="1">
      <alignment vertical="top" wrapText="1"/>
    </xf>
    <xf numFmtId="169" fontId="8" fillId="4" borderId="44" xfId="2" applyNumberFormat="1" applyBorder="1" applyAlignment="1">
      <alignment vertical="top" wrapText="1"/>
    </xf>
    <xf numFmtId="169" fontId="8" fillId="4" borderId="108" xfId="2" applyNumberFormat="1" applyBorder="1" applyAlignment="1">
      <alignment vertical="top" wrapText="1"/>
    </xf>
    <xf numFmtId="169" fontId="8" fillId="4" borderId="45" xfId="2" applyNumberFormat="1" applyBorder="1" applyAlignment="1">
      <alignment vertical="top" wrapText="1"/>
    </xf>
    <xf numFmtId="168" fontId="15" fillId="5" borderId="41" xfId="3" applyNumberFormat="1" applyFont="1" applyBorder="1" applyAlignment="1" applyProtection="1">
      <alignment horizontal="right" vertical="top" wrapText="1"/>
      <protection locked="0"/>
    </xf>
    <xf numFmtId="168" fontId="15" fillId="5" borderId="17" xfId="3" applyNumberFormat="1" applyFont="1" applyAlignment="1" applyProtection="1">
      <alignment horizontal="right" vertical="top" wrapText="1"/>
      <protection locked="0"/>
    </xf>
    <xf numFmtId="168" fontId="15" fillId="5" borderId="104" xfId="3" applyNumberFormat="1" applyFont="1" applyBorder="1" applyAlignment="1" applyProtection="1">
      <alignment horizontal="right" vertical="top" wrapText="1"/>
      <protection locked="0"/>
    </xf>
    <xf numFmtId="168" fontId="15" fillId="5" borderId="101" xfId="3" applyNumberFormat="1" applyFont="1" applyBorder="1" applyAlignment="1" applyProtection="1">
      <alignment horizontal="right" vertical="top" wrapText="1"/>
      <protection locked="0"/>
    </xf>
    <xf numFmtId="0" fontId="0" fillId="17" borderId="38" xfId="0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vertical="top" wrapText="1"/>
    </xf>
    <xf numFmtId="169" fontId="75" fillId="0" borderId="0" xfId="0" applyNumberFormat="1" applyFont="1"/>
    <xf numFmtId="169" fontId="79" fillId="0" borderId="0" xfId="0" applyNumberFormat="1" applyFont="1"/>
    <xf numFmtId="5" fontId="15" fillId="5" borderId="17" xfId="5" applyNumberFormat="1" applyFont="1" applyFill="1" applyBorder="1" applyAlignment="1" applyProtection="1">
      <alignment vertical="center" wrapText="1"/>
    </xf>
    <xf numFmtId="5" fontId="15" fillId="5" borderId="56" xfId="5" applyNumberFormat="1" applyFont="1" applyFill="1" applyBorder="1" applyAlignment="1" applyProtection="1">
      <alignment vertical="center" wrapText="1"/>
    </xf>
    <xf numFmtId="5" fontId="15" fillId="5" borderId="53" xfId="5" applyNumberFormat="1" applyFont="1" applyFill="1" applyBorder="1" applyAlignment="1" applyProtection="1">
      <alignment vertical="center" wrapText="1"/>
    </xf>
    <xf numFmtId="169" fontId="15" fillId="5" borderId="17" xfId="5" applyNumberFormat="1" applyFont="1" applyFill="1" applyBorder="1" applyAlignment="1" applyProtection="1">
      <alignment vertical="center" wrapText="1"/>
    </xf>
    <xf numFmtId="169" fontId="15" fillId="5" borderId="56" xfId="5" applyNumberFormat="1" applyFont="1" applyFill="1" applyBorder="1" applyAlignment="1" applyProtection="1">
      <alignment vertical="center" wrapText="1"/>
    </xf>
    <xf numFmtId="3" fontId="55" fillId="20" borderId="53" xfId="5" applyNumberFormat="1" applyFont="1" applyFill="1" applyBorder="1" applyAlignment="1" applyProtection="1">
      <alignment horizontal="center" vertical="center" wrapText="1"/>
    </xf>
    <xf numFmtId="3" fontId="55" fillId="20" borderId="17" xfId="5" applyNumberFormat="1" applyFont="1" applyFill="1" applyBorder="1" applyAlignment="1" applyProtection="1">
      <alignment horizontal="center" vertical="center" wrapText="1"/>
    </xf>
    <xf numFmtId="3" fontId="55" fillId="20" borderId="56" xfId="5" applyNumberFormat="1" applyFont="1" applyFill="1" applyBorder="1" applyAlignment="1" applyProtection="1">
      <alignment horizontal="center" vertical="center" wrapText="1"/>
    </xf>
    <xf numFmtId="8" fontId="55" fillId="20" borderId="160" xfId="7" applyNumberFormat="1" applyFont="1" applyFill="1" applyBorder="1" applyAlignment="1" applyProtection="1">
      <alignment horizontal="center" vertical="center" wrapText="1"/>
    </xf>
    <xf numFmtId="0" fontId="38" fillId="17" borderId="135" xfId="0" applyFont="1" applyFill="1" applyBorder="1" applyAlignment="1">
      <alignment horizontal="left" vertical="center" wrapText="1"/>
    </xf>
    <xf numFmtId="8" fontId="0" fillId="0" borderId="0" xfId="0" applyNumberFormat="1"/>
    <xf numFmtId="0" fontId="38" fillId="17" borderId="134" xfId="0" applyFont="1" applyFill="1" applyBorder="1" applyAlignment="1">
      <alignment horizontal="left" vertical="center"/>
    </xf>
    <xf numFmtId="0" fontId="38" fillId="17" borderId="134" xfId="0" applyFont="1" applyFill="1" applyBorder="1" applyAlignment="1">
      <alignment horizontal="center" vertical="center"/>
    </xf>
    <xf numFmtId="44" fontId="38" fillId="17" borderId="134" xfId="7" applyFont="1" applyFill="1" applyBorder="1" applyAlignment="1">
      <alignment horizontal="center" vertical="center"/>
    </xf>
    <xf numFmtId="44" fontId="55" fillId="20" borderId="168" xfId="7" applyFont="1" applyFill="1" applyBorder="1" applyAlignment="1" applyProtection="1">
      <alignment horizontal="center" vertical="center" wrapText="1"/>
    </xf>
    <xf numFmtId="44" fontId="38" fillId="17" borderId="169" xfId="7" applyFont="1" applyFill="1" applyBorder="1" applyAlignment="1">
      <alignment horizontal="left" vertical="center"/>
    </xf>
    <xf numFmtId="171" fontId="54" fillId="0" borderId="0" xfId="0" applyNumberFormat="1" applyFont="1"/>
    <xf numFmtId="0" fontId="73" fillId="0" borderId="5" xfId="0" applyFont="1" applyFill="1" applyBorder="1" applyAlignment="1">
      <alignment horizontal="center" vertical="center"/>
    </xf>
    <xf numFmtId="169" fontId="74" fillId="22" borderId="24" xfId="0" applyNumberFormat="1" applyFont="1" applyFill="1" applyBorder="1" applyAlignment="1">
      <alignment horizontal="right" vertical="center"/>
    </xf>
    <xf numFmtId="169" fontId="74" fillId="22" borderId="6" xfId="0" applyNumberFormat="1" applyFont="1" applyFill="1" applyBorder="1" applyAlignment="1">
      <alignment horizontal="right" vertical="center"/>
    </xf>
    <xf numFmtId="169" fontId="77" fillId="14" borderId="28" xfId="0" applyNumberFormat="1" applyFont="1" applyFill="1" applyBorder="1" applyAlignment="1">
      <alignment horizontal="right" vertical="center"/>
    </xf>
    <xf numFmtId="169" fontId="77" fillId="14" borderId="30" xfId="0" applyNumberFormat="1" applyFont="1" applyFill="1" applyBorder="1" applyAlignment="1">
      <alignment horizontal="right" vertical="center"/>
    </xf>
    <xf numFmtId="169" fontId="68" fillId="0" borderId="0" xfId="0" applyNumberFormat="1" applyFont="1" applyFill="1"/>
    <xf numFmtId="172" fontId="68" fillId="17" borderId="130" xfId="0" applyNumberFormat="1" applyFont="1" applyFill="1" applyBorder="1" applyAlignment="1">
      <alignment horizontal="right" vertical="center"/>
    </xf>
    <xf numFmtId="172" fontId="68" fillId="0" borderId="130" xfId="0" applyNumberFormat="1" applyFont="1" applyBorder="1" applyAlignment="1">
      <alignment horizontal="right" vertical="center"/>
    </xf>
    <xf numFmtId="172" fontId="80" fillId="17" borderId="130" xfId="0" applyNumberFormat="1" applyFont="1" applyFill="1" applyBorder="1" applyAlignment="1">
      <alignment horizontal="right" vertical="center"/>
    </xf>
    <xf numFmtId="169" fontId="80" fillId="17" borderId="130" xfId="0" applyNumberFormat="1" applyFont="1" applyFill="1" applyBorder="1" applyAlignment="1">
      <alignment horizontal="center" vertical="center"/>
    </xf>
    <xf numFmtId="169" fontId="80" fillId="17" borderId="157" xfId="0" applyNumberFormat="1" applyFont="1" applyFill="1" applyBorder="1" applyAlignment="1">
      <alignment horizontal="center" vertical="center"/>
    </xf>
    <xf numFmtId="172" fontId="80" fillId="0" borderId="130" xfId="0" applyNumberFormat="1" applyFont="1" applyBorder="1" applyAlignment="1">
      <alignment horizontal="right" vertical="center"/>
    </xf>
    <xf numFmtId="169" fontId="80" fillId="0" borderId="130" xfId="0" applyNumberFormat="1" applyFont="1" applyBorder="1" applyAlignment="1">
      <alignment horizontal="center" vertical="center"/>
    </xf>
    <xf numFmtId="169" fontId="80" fillId="0" borderId="157" xfId="0" applyNumberFormat="1" applyFont="1" applyBorder="1" applyAlignment="1">
      <alignment horizontal="center" vertical="center"/>
    </xf>
    <xf numFmtId="165" fontId="0" fillId="0" borderId="0" xfId="0" applyNumberFormat="1" applyProtection="1"/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7" fillId="17" borderId="171" xfId="0" applyFont="1" applyFill="1" applyBorder="1" applyAlignment="1">
      <alignment vertical="center"/>
    </xf>
    <xf numFmtId="0" fontId="37" fillId="17" borderId="171" xfId="0" applyFont="1" applyFill="1" applyBorder="1" applyAlignment="1">
      <alignment vertical="center" wrapText="1"/>
    </xf>
    <xf numFmtId="0" fontId="41" fillId="17" borderId="24" xfId="0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41" fillId="17" borderId="6" xfId="0" applyFont="1" applyFill="1" applyBorder="1" applyAlignment="1">
      <alignment horizontal="center" vertical="center"/>
    </xf>
    <xf numFmtId="0" fontId="41" fillId="17" borderId="172" xfId="0" applyFont="1" applyFill="1" applyBorder="1" applyAlignment="1">
      <alignment horizontal="center" vertical="center"/>
    </xf>
    <xf numFmtId="0" fontId="41" fillId="17" borderId="173" xfId="0" applyFont="1" applyFill="1" applyBorder="1" applyAlignment="1">
      <alignment horizontal="center" vertical="center"/>
    </xf>
    <xf numFmtId="0" fontId="41" fillId="17" borderId="174" xfId="0" applyFont="1" applyFill="1" applyBorder="1" applyAlignment="1">
      <alignment horizontal="center" vertical="center"/>
    </xf>
    <xf numFmtId="0" fontId="35" fillId="17" borderId="175" xfId="0" applyFont="1" applyFill="1" applyBorder="1" applyAlignment="1">
      <alignment horizontal="center" vertical="center"/>
    </xf>
    <xf numFmtId="0" fontId="35" fillId="17" borderId="176" xfId="0" applyFont="1" applyFill="1" applyBorder="1" applyAlignment="1">
      <alignment horizontal="center" vertical="center"/>
    </xf>
    <xf numFmtId="0" fontId="35" fillId="17" borderId="8" xfId="3" applyFont="1" applyFill="1" applyBorder="1" applyAlignment="1">
      <alignment horizontal="center"/>
    </xf>
    <xf numFmtId="0" fontId="37" fillId="17" borderId="170" xfId="0" applyFont="1" applyFill="1" applyBorder="1" applyAlignment="1">
      <alignment vertical="center" wrapText="1"/>
    </xf>
    <xf numFmtId="0" fontId="41" fillId="17" borderId="177" xfId="0" applyFont="1" applyFill="1" applyBorder="1" applyAlignment="1">
      <alignment horizontal="center" vertical="center"/>
    </xf>
    <xf numFmtId="0" fontId="41" fillId="17" borderId="178" xfId="0" applyFont="1" applyFill="1" applyBorder="1" applyAlignment="1">
      <alignment horizontal="center" vertical="center"/>
    </xf>
    <xf numFmtId="0" fontId="41" fillId="17" borderId="179" xfId="0" applyFont="1" applyFill="1" applyBorder="1" applyAlignment="1">
      <alignment horizontal="center" vertical="center"/>
    </xf>
    <xf numFmtId="0" fontId="35" fillId="17" borderId="180" xfId="0" applyFont="1" applyFill="1" applyBorder="1" applyAlignment="1">
      <alignment horizontal="center" vertical="center"/>
    </xf>
    <xf numFmtId="0" fontId="35" fillId="17" borderId="181" xfId="0" applyFont="1" applyFill="1" applyBorder="1" applyAlignment="1">
      <alignment horizontal="center" vertical="center"/>
    </xf>
    <xf numFmtId="0" fontId="35" fillId="17" borderId="80" xfId="3" applyFont="1" applyFill="1" applyBorder="1" applyAlignment="1">
      <alignment horizontal="center"/>
    </xf>
    <xf numFmtId="0" fontId="37" fillId="17" borderId="159" xfId="0" applyFont="1" applyFill="1" applyBorder="1" applyAlignment="1">
      <alignment vertical="center" wrapText="1"/>
    </xf>
    <xf numFmtId="0" fontId="37" fillId="17" borderId="134" xfId="0" applyFont="1" applyFill="1" applyBorder="1" applyAlignment="1">
      <alignment vertical="center" wrapText="1"/>
    </xf>
    <xf numFmtId="0" fontId="41" fillId="17" borderId="182" xfId="0" applyFont="1" applyFill="1" applyBorder="1" applyAlignment="1">
      <alignment horizontal="center" vertical="center"/>
    </xf>
    <xf numFmtId="0" fontId="41" fillId="17" borderId="183" xfId="0" applyFont="1" applyFill="1" applyBorder="1" applyAlignment="1">
      <alignment horizontal="center" vertical="center"/>
    </xf>
    <xf numFmtId="0" fontId="41" fillId="17" borderId="184" xfId="0" applyFont="1" applyFill="1" applyBorder="1" applyAlignment="1">
      <alignment horizontal="center" vertical="center"/>
    </xf>
    <xf numFmtId="0" fontId="41" fillId="17" borderId="185" xfId="0" applyFont="1" applyFill="1" applyBorder="1" applyAlignment="1">
      <alignment horizontal="center" vertical="center"/>
    </xf>
    <xf numFmtId="0" fontId="41" fillId="17" borderId="186" xfId="0" applyFont="1" applyFill="1" applyBorder="1" applyAlignment="1">
      <alignment horizontal="center" vertical="center"/>
    </xf>
    <xf numFmtId="0" fontId="41" fillId="17" borderId="187" xfId="0" applyFont="1" applyFill="1" applyBorder="1" applyAlignment="1">
      <alignment horizontal="center" vertical="center"/>
    </xf>
    <xf numFmtId="0" fontId="35" fillId="17" borderId="188" xfId="3" applyFont="1" applyFill="1" applyBorder="1" applyAlignment="1">
      <alignment horizontal="center"/>
    </xf>
    <xf numFmtId="169" fontId="0" fillId="0" borderId="0" xfId="0" applyNumberFormat="1"/>
    <xf numFmtId="169" fontId="0" fillId="0" borderId="22" xfId="0" applyNumberFormat="1" applyBorder="1"/>
    <xf numFmtId="0" fontId="0" fillId="0" borderId="22" xfId="0" applyBorder="1"/>
    <xf numFmtId="169" fontId="9" fillId="0" borderId="22" xfId="0" applyNumberFormat="1" applyFont="1" applyBorder="1"/>
    <xf numFmtId="0" fontId="0" fillId="0" borderId="22" xfId="0" applyBorder="1" applyAlignment="1">
      <alignment horizontal="center"/>
    </xf>
    <xf numFmtId="169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86" xfId="0" applyBorder="1"/>
    <xf numFmtId="169" fontId="0" fillId="0" borderId="86" xfId="0" applyNumberFormat="1" applyBorder="1"/>
    <xf numFmtId="0" fontId="0" fillId="0" borderId="86" xfId="0" applyBorder="1" applyAlignment="1">
      <alignment horizontal="center"/>
    </xf>
    <xf numFmtId="0" fontId="0" fillId="0" borderId="126" xfId="0" applyBorder="1"/>
    <xf numFmtId="169" fontId="0" fillId="0" borderId="126" xfId="0" applyNumberFormat="1" applyBorder="1"/>
    <xf numFmtId="0" fontId="0" fillId="0" borderId="126" xfId="0" applyBorder="1" applyAlignment="1">
      <alignment horizontal="center"/>
    </xf>
    <xf numFmtId="0" fontId="0" fillId="0" borderId="114" xfId="0" applyBorder="1"/>
    <xf numFmtId="169" fontId="0" fillId="0" borderId="114" xfId="0" applyNumberFormat="1" applyBorder="1"/>
    <xf numFmtId="0" fontId="0" fillId="0" borderId="114" xfId="0" applyBorder="1" applyAlignment="1">
      <alignment horizontal="center"/>
    </xf>
    <xf numFmtId="0" fontId="0" fillId="0" borderId="116" xfId="0" applyBorder="1"/>
    <xf numFmtId="169" fontId="0" fillId="0" borderId="122" xfId="0" applyNumberFormat="1" applyBorder="1"/>
    <xf numFmtId="0" fontId="0" fillId="0" borderId="18" xfId="0" applyBorder="1" applyAlignment="1">
      <alignment horizontal="center"/>
    </xf>
    <xf numFmtId="0" fontId="9" fillId="0" borderId="22" xfId="0" applyFont="1" applyBorder="1" applyAlignment="1">
      <alignment horizontal="right" wrapText="1"/>
    </xf>
    <xf numFmtId="169" fontId="0" fillId="0" borderId="22" xfId="0" applyNumberForma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9" fillId="0" borderId="0" xfId="0" applyFont="1" applyAlignment="1">
      <alignment horizontal="right"/>
    </xf>
    <xf numFmtId="0" fontId="34" fillId="9" borderId="69" xfId="0" applyFont="1" applyFill="1" applyBorder="1" applyAlignment="1">
      <alignment horizontal="left" vertical="center" wrapText="1"/>
    </xf>
    <xf numFmtId="0" fontId="33" fillId="0" borderId="148" xfId="0" applyFont="1" applyBorder="1" applyAlignment="1">
      <alignment horizontal="center" vertical="center" wrapText="1"/>
    </xf>
    <xf numFmtId="0" fontId="33" fillId="0" borderId="14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7" borderId="146" xfId="0" applyFill="1" applyBorder="1" applyAlignment="1">
      <alignment horizontal="left" vertical="center" wrapText="1"/>
    </xf>
    <xf numFmtId="0" fontId="0" fillId="17" borderId="146" xfId="0" applyFont="1" applyFill="1" applyBorder="1" applyAlignment="1">
      <alignment horizontal="left" vertical="center" wrapText="1"/>
    </xf>
    <xf numFmtId="4" fontId="0" fillId="17" borderId="124" xfId="0" applyNumberFormat="1" applyFill="1" applyBorder="1" applyAlignment="1">
      <alignment horizontal="right" vertical="center" indent="2"/>
    </xf>
    <xf numFmtId="4" fontId="0" fillId="17" borderId="113" xfId="0" applyNumberFormat="1" applyFill="1" applyBorder="1" applyAlignment="1">
      <alignment horizontal="right" vertical="center" indent="2"/>
    </xf>
    <xf numFmtId="4" fontId="0" fillId="17" borderId="22" xfId="0" applyNumberFormat="1" applyFill="1" applyBorder="1" applyAlignment="1">
      <alignment horizontal="right" vertical="center" indent="2"/>
    </xf>
    <xf numFmtId="4" fontId="0" fillId="17" borderId="34" xfId="0" applyNumberFormat="1" applyFill="1" applyBorder="1" applyAlignment="1">
      <alignment horizontal="right" vertical="center" indent="2"/>
    </xf>
    <xf numFmtId="0" fontId="9" fillId="0" borderId="8" xfId="0" applyFont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9" fillId="0" borderId="153" xfId="0" applyFont="1" applyBorder="1" applyAlignment="1">
      <alignment horizontal="center" vertical="center" wrapText="1"/>
    </xf>
    <xf numFmtId="0" fontId="9" fillId="17" borderId="146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33" fillId="0" borderId="31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right" vertical="center" indent="2"/>
    </xf>
    <xf numFmtId="4" fontId="0" fillId="17" borderId="115" xfId="0" applyNumberFormat="1" applyFill="1" applyBorder="1" applyAlignment="1">
      <alignment horizontal="right" vertical="center" indent="2"/>
    </xf>
    <xf numFmtId="3" fontId="0" fillId="17" borderId="60" xfId="0" applyNumberFormat="1" applyFill="1" applyBorder="1" applyAlignment="1">
      <alignment horizontal="right" vertical="center" indent="2"/>
    </xf>
    <xf numFmtId="3" fontId="0" fillId="17" borderId="22" xfId="0" applyNumberFormat="1" applyFill="1" applyBorder="1" applyAlignment="1">
      <alignment horizontal="right" vertical="center" indent="2"/>
    </xf>
    <xf numFmtId="4" fontId="0" fillId="17" borderId="119" xfId="0" applyNumberFormat="1" applyFill="1" applyBorder="1" applyAlignment="1">
      <alignment horizontal="right" vertical="center" indent="2"/>
    </xf>
    <xf numFmtId="0" fontId="9" fillId="0" borderId="80" xfId="0" applyFont="1" applyBorder="1" applyAlignment="1">
      <alignment horizontal="center" vertical="center" wrapText="1"/>
    </xf>
    <xf numFmtId="0" fontId="0" fillId="17" borderId="146" xfId="0" applyFill="1" applyBorder="1"/>
    <xf numFmtId="4" fontId="0" fillId="17" borderId="86" xfId="0" applyNumberFormat="1" applyFill="1" applyBorder="1" applyAlignment="1">
      <alignment horizontal="right" vertical="center" indent="2"/>
    </xf>
    <xf numFmtId="3" fontId="0" fillId="17" borderId="86" xfId="0" applyNumberFormat="1" applyFill="1" applyBorder="1" applyAlignment="1">
      <alignment horizontal="right" vertical="center" indent="2"/>
    </xf>
    <xf numFmtId="0" fontId="0" fillId="17" borderId="153" xfId="0" applyFont="1" applyFill="1" applyBorder="1" applyAlignment="1">
      <alignment horizontal="left" vertical="center" wrapText="1"/>
    </xf>
    <xf numFmtId="0" fontId="0" fillId="17" borderId="153" xfId="0" applyFill="1" applyBorder="1"/>
    <xf numFmtId="0" fontId="0" fillId="17" borderId="191" xfId="0" applyFill="1" applyBorder="1" applyAlignment="1">
      <alignment horizontal="center"/>
    </xf>
    <xf numFmtId="0" fontId="0" fillId="17" borderId="86" xfId="0" applyFill="1" applyBorder="1" applyAlignment="1">
      <alignment horizontal="center"/>
    </xf>
    <xf numFmtId="0" fontId="48" fillId="17" borderId="147" xfId="0" applyFont="1" applyFill="1" applyBorder="1"/>
    <xf numFmtId="9" fontId="48" fillId="17" borderId="64" xfId="0" applyNumberFormat="1" applyFont="1" applyFill="1" applyBorder="1" applyAlignment="1">
      <alignment horizontal="center"/>
    </xf>
    <xf numFmtId="9" fontId="48" fillId="17" borderId="189" xfId="0" applyNumberFormat="1" applyFont="1" applyFill="1" applyBorder="1" applyAlignment="1">
      <alignment horizontal="center"/>
    </xf>
    <xf numFmtId="9" fontId="48" fillId="17" borderId="65" xfId="0" applyNumberFormat="1" applyFont="1" applyFill="1" applyBorder="1" applyAlignment="1">
      <alignment horizontal="center"/>
    </xf>
    <xf numFmtId="0" fontId="48" fillId="17" borderId="65" xfId="0" applyFont="1" applyFill="1" applyBorder="1" applyAlignment="1">
      <alignment horizontal="center"/>
    </xf>
    <xf numFmtId="0" fontId="48" fillId="0" borderId="9" xfId="0" applyFont="1" applyBorder="1" applyAlignment="1">
      <alignment horizontal="center" vertical="center" wrapText="1"/>
    </xf>
    <xf numFmtId="0" fontId="48" fillId="17" borderId="66" xfId="0" applyFont="1" applyFill="1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9" fontId="46" fillId="17" borderId="6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17" borderId="80" xfId="0" applyFont="1" applyFill="1" applyBorder="1" applyAlignment="1">
      <alignment vertical="center" wrapText="1"/>
    </xf>
    <xf numFmtId="0" fontId="9" fillId="17" borderId="89" xfId="0" applyFont="1" applyFill="1" applyBorder="1" applyAlignment="1">
      <alignment horizontal="left" vertical="center" wrapText="1"/>
    </xf>
    <xf numFmtId="0" fontId="81" fillId="0" borderId="0" xfId="0" applyFont="1"/>
    <xf numFmtId="9" fontId="0" fillId="17" borderId="124" xfId="4" applyFont="1" applyFill="1" applyBorder="1" applyAlignment="1">
      <alignment horizontal="right" vertical="center" indent="2"/>
    </xf>
    <xf numFmtId="0" fontId="33" fillId="0" borderId="75" xfId="0" applyFont="1" applyBorder="1" applyAlignment="1">
      <alignment horizontal="center" vertical="center" wrapText="1"/>
    </xf>
    <xf numFmtId="3" fontId="0" fillId="17" borderId="61" xfId="0" applyNumberFormat="1" applyFill="1" applyBorder="1" applyAlignment="1">
      <alignment horizontal="right" vertical="center" indent="2"/>
    </xf>
    <xf numFmtId="3" fontId="0" fillId="17" borderId="38" xfId="0" applyNumberFormat="1" applyFill="1" applyBorder="1" applyAlignment="1">
      <alignment horizontal="right" vertical="center" indent="2"/>
    </xf>
    <xf numFmtId="3" fontId="0" fillId="17" borderId="192" xfId="0" applyNumberFormat="1" applyFill="1" applyBorder="1" applyAlignment="1">
      <alignment horizontal="right" vertical="center" indent="2"/>
    </xf>
    <xf numFmtId="3" fontId="0" fillId="17" borderId="39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2"/>
    </xf>
    <xf numFmtId="0" fontId="9" fillId="0" borderId="0" xfId="0" applyFont="1" applyAlignment="1">
      <alignment horizontal="center"/>
    </xf>
    <xf numFmtId="169" fontId="0" fillId="0" borderId="0" xfId="0" applyNumberFormat="1" applyFont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right"/>
    </xf>
    <xf numFmtId="9" fontId="82" fillId="0" borderId="22" xfId="0" applyNumberFormat="1" applyFont="1" applyBorder="1"/>
    <xf numFmtId="10" fontId="82" fillId="0" borderId="0" xfId="4" applyNumberFormat="1" applyFont="1" applyBorder="1" applyAlignment="1">
      <alignment horizontal="left" vertical="top" wrapText="1"/>
    </xf>
    <xf numFmtId="9" fontId="82" fillId="0" borderId="22" xfId="4" applyFont="1" applyBorder="1" applyAlignment="1">
      <alignment horizontal="right" indent="2"/>
    </xf>
    <xf numFmtId="0" fontId="0" fillId="0" borderId="0" xfId="0" applyAlignment="1">
      <alignment wrapText="1"/>
    </xf>
    <xf numFmtId="0" fontId="0" fillId="0" borderId="153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center" vertical="center"/>
    </xf>
    <xf numFmtId="3" fontId="0" fillId="17" borderId="60" xfId="0" applyNumberFormat="1" applyFont="1" applyFill="1" applyBorder="1" applyAlignment="1">
      <alignment horizontal="right" vertical="center" indent="2"/>
    </xf>
    <xf numFmtId="3" fontId="9" fillId="17" borderId="60" xfId="0" applyNumberFormat="1" applyFont="1" applyFill="1" applyBorder="1" applyAlignment="1">
      <alignment horizontal="right" vertical="center" indent="2"/>
    </xf>
    <xf numFmtId="4" fontId="0" fillId="17" borderId="20" xfId="0" applyNumberFormat="1" applyFill="1" applyBorder="1" applyAlignment="1">
      <alignment horizontal="right" vertical="center" indent="2"/>
    </xf>
    <xf numFmtId="4" fontId="9" fillId="17" borderId="20" xfId="0" applyNumberFormat="1" applyFont="1" applyFill="1" applyBorder="1" applyAlignment="1">
      <alignment horizontal="right" vertical="center"/>
    </xf>
    <xf numFmtId="3" fontId="0" fillId="17" borderId="20" xfId="0" applyNumberFormat="1" applyFont="1" applyFill="1" applyBorder="1" applyAlignment="1">
      <alignment horizontal="right" vertical="center" indent="1"/>
    </xf>
    <xf numFmtId="0" fontId="9" fillId="0" borderId="89" xfId="0" applyFont="1" applyBorder="1" applyAlignment="1">
      <alignment horizontal="center" vertical="center" wrapText="1"/>
    </xf>
    <xf numFmtId="4" fontId="0" fillId="17" borderId="59" xfId="0" applyNumberFormat="1" applyFill="1" applyBorder="1" applyAlignment="1">
      <alignment horizontal="right" vertical="center" indent="2"/>
    </xf>
    <xf numFmtId="4" fontId="9" fillId="17" borderId="115" xfId="0" applyNumberFormat="1" applyFont="1" applyFill="1" applyBorder="1" applyAlignment="1">
      <alignment horizontal="right" vertical="center"/>
    </xf>
    <xf numFmtId="3" fontId="0" fillId="17" borderId="115" xfId="0" applyNumberFormat="1" applyFont="1" applyFill="1" applyBorder="1" applyAlignment="1">
      <alignment horizontal="right" vertical="center" indent="1"/>
    </xf>
    <xf numFmtId="4" fontId="0" fillId="17" borderId="191" xfId="0" applyNumberFormat="1" applyFill="1" applyBorder="1" applyAlignment="1">
      <alignment horizontal="right" vertical="center" indent="2"/>
    </xf>
    <xf numFmtId="4" fontId="9" fillId="17" borderId="86" xfId="0" applyNumberFormat="1" applyFont="1" applyFill="1" applyBorder="1" applyAlignment="1">
      <alignment horizontal="right" vertical="center"/>
    </xf>
    <xf numFmtId="3" fontId="0" fillId="17" borderId="86" xfId="0" applyNumberFormat="1" applyFont="1" applyFill="1" applyBorder="1" applyAlignment="1">
      <alignment horizontal="right" vertical="center" indent="1"/>
    </xf>
    <xf numFmtId="9" fontId="0" fillId="17" borderId="193" xfId="4" applyFont="1" applyFill="1" applyBorder="1" applyAlignment="1">
      <alignment horizontal="right" vertical="center" indent="2"/>
    </xf>
    <xf numFmtId="9" fontId="0" fillId="17" borderId="126" xfId="4" applyFont="1" applyFill="1" applyBorder="1" applyAlignment="1">
      <alignment horizontal="right" vertical="center" indent="2"/>
    </xf>
    <xf numFmtId="9" fontId="9" fillId="17" borderId="126" xfId="4" applyFont="1" applyFill="1" applyBorder="1" applyAlignment="1">
      <alignment horizontal="right" vertical="center"/>
    </xf>
    <xf numFmtId="3" fontId="3" fillId="17" borderId="126" xfId="4" applyNumberFormat="1" applyFont="1" applyFill="1" applyBorder="1" applyAlignment="1">
      <alignment horizontal="right" vertical="center" indent="1"/>
    </xf>
    <xf numFmtId="3" fontId="0" fillId="17" borderId="126" xfId="4" applyNumberFormat="1" applyFont="1" applyFill="1" applyBorder="1" applyAlignment="1">
      <alignment horizontal="right" vertical="center" indent="2"/>
    </xf>
    <xf numFmtId="3" fontId="0" fillId="17" borderId="40" xfId="4" applyNumberFormat="1" applyFont="1" applyFill="1" applyBorder="1" applyAlignment="1">
      <alignment horizontal="right" vertical="center" indent="2"/>
    </xf>
    <xf numFmtId="4" fontId="0" fillId="17" borderId="194" xfId="4" applyNumberFormat="1" applyFont="1" applyFill="1" applyBorder="1" applyAlignment="1">
      <alignment horizontal="right" vertical="center" indent="2"/>
    </xf>
    <xf numFmtId="4" fontId="0" fillId="17" borderId="114" xfId="4" applyNumberFormat="1" applyFont="1" applyFill="1" applyBorder="1" applyAlignment="1">
      <alignment horizontal="right" vertical="center" indent="2"/>
    </xf>
    <xf numFmtId="4" fontId="9" fillId="17" borderId="114" xfId="4" applyNumberFormat="1" applyFont="1" applyFill="1" applyBorder="1" applyAlignment="1">
      <alignment horizontal="right" vertical="center"/>
    </xf>
    <xf numFmtId="3" fontId="3" fillId="17" borderId="114" xfId="4" applyNumberFormat="1" applyFont="1" applyFill="1" applyBorder="1" applyAlignment="1">
      <alignment horizontal="right" vertical="center" indent="1"/>
    </xf>
    <xf numFmtId="3" fontId="0" fillId="17" borderId="114" xfId="4" applyNumberFormat="1" applyFont="1" applyFill="1" applyBorder="1" applyAlignment="1">
      <alignment horizontal="right" vertical="center" indent="2"/>
    </xf>
    <xf numFmtId="3" fontId="0" fillId="17" borderId="192" xfId="4" applyNumberFormat="1" applyFont="1" applyFill="1" applyBorder="1" applyAlignment="1">
      <alignment horizontal="right" vertical="center" indent="2"/>
    </xf>
    <xf numFmtId="0" fontId="0" fillId="17" borderId="153" xfId="0" applyFill="1" applyBorder="1" applyAlignment="1">
      <alignment horizontal="left" vertical="center" wrapText="1"/>
    </xf>
    <xf numFmtId="4" fontId="0" fillId="17" borderId="193" xfId="4" applyNumberFormat="1" applyFont="1" applyFill="1" applyBorder="1" applyAlignment="1">
      <alignment horizontal="right" vertical="center" indent="2"/>
    </xf>
    <xf numFmtId="4" fontId="0" fillId="17" borderId="126" xfId="4" applyNumberFormat="1" applyFont="1" applyFill="1" applyBorder="1" applyAlignment="1">
      <alignment horizontal="right" vertical="center" indent="2"/>
    </xf>
    <xf numFmtId="4" fontId="9" fillId="17" borderId="126" xfId="4" applyNumberFormat="1" applyFont="1" applyFill="1" applyBorder="1" applyAlignment="1">
      <alignment horizontal="right" vertical="center"/>
    </xf>
    <xf numFmtId="0" fontId="5" fillId="0" borderId="147" xfId="0" applyFont="1" applyBorder="1" applyAlignment="1">
      <alignment horizontal="center" vertical="center" wrapText="1"/>
    </xf>
    <xf numFmtId="0" fontId="5" fillId="17" borderId="147" xfId="0" applyFont="1" applyFill="1" applyBorder="1"/>
    <xf numFmtId="9" fontId="5" fillId="17" borderId="64" xfId="0" applyNumberFormat="1" applyFont="1" applyFill="1" applyBorder="1" applyAlignment="1">
      <alignment horizontal="center"/>
    </xf>
    <xf numFmtId="9" fontId="5" fillId="17" borderId="65" xfId="0" applyNumberFormat="1" applyFont="1" applyFill="1" applyBorder="1" applyAlignment="1">
      <alignment horizontal="center"/>
    </xf>
    <xf numFmtId="9" fontId="61" fillId="17" borderId="65" xfId="0" applyNumberFormat="1" applyFont="1" applyFill="1" applyBorder="1" applyAlignment="1">
      <alignment horizontal="right"/>
    </xf>
    <xf numFmtId="3" fontId="5" fillId="17" borderId="65" xfId="0" applyNumberFormat="1" applyFont="1" applyFill="1" applyBorder="1" applyAlignment="1">
      <alignment horizontal="right" indent="1"/>
    </xf>
    <xf numFmtId="3" fontId="3" fillId="17" borderId="65" xfId="4" applyNumberFormat="1" applyFont="1" applyFill="1" applyBorder="1" applyAlignment="1">
      <alignment horizontal="right" vertical="center" indent="2"/>
    </xf>
    <xf numFmtId="3" fontId="3" fillId="17" borderId="66" xfId="4" applyNumberFormat="1" applyFont="1" applyFill="1" applyBorder="1" applyAlignment="1">
      <alignment horizontal="right" vertical="center" indent="2"/>
    </xf>
    <xf numFmtId="4" fontId="9" fillId="17" borderId="124" xfId="0" applyNumberFormat="1" applyFont="1" applyFill="1" applyBorder="1" applyAlignment="1">
      <alignment horizontal="right" vertical="center"/>
    </xf>
    <xf numFmtId="3" fontId="0" fillId="17" borderId="124" xfId="0" applyNumberFormat="1" applyFont="1" applyFill="1" applyBorder="1" applyAlignment="1">
      <alignment horizontal="right" vertical="center" indent="1"/>
    </xf>
    <xf numFmtId="0" fontId="5" fillId="0" borderId="153" xfId="0" applyFont="1" applyBorder="1" applyAlignment="1">
      <alignment horizontal="center" vertical="center" wrapText="1"/>
    </xf>
    <xf numFmtId="0" fontId="5" fillId="17" borderId="153" xfId="0" applyFont="1" applyFill="1" applyBorder="1"/>
    <xf numFmtId="9" fontId="5" fillId="17" borderId="116" xfId="0" applyNumberFormat="1" applyFont="1" applyFill="1" applyBorder="1" applyAlignment="1">
      <alignment horizontal="center"/>
    </xf>
    <xf numFmtId="9" fontId="5" fillId="17" borderId="86" xfId="0" applyNumberFormat="1" applyFont="1" applyFill="1" applyBorder="1" applyAlignment="1">
      <alignment horizontal="center"/>
    </xf>
    <xf numFmtId="9" fontId="61" fillId="17" borderId="86" xfId="0" applyNumberFormat="1" applyFont="1" applyFill="1" applyBorder="1" applyAlignment="1">
      <alignment horizontal="right"/>
    </xf>
    <xf numFmtId="3" fontId="5" fillId="17" borderId="86" xfId="0" applyNumberFormat="1" applyFont="1" applyFill="1" applyBorder="1" applyAlignment="1">
      <alignment horizontal="right" indent="1"/>
    </xf>
    <xf numFmtId="3" fontId="3" fillId="17" borderId="86" xfId="4" applyNumberFormat="1" applyFont="1" applyFill="1" applyBorder="1" applyAlignment="1">
      <alignment horizontal="right" vertical="center" indent="2"/>
    </xf>
    <xf numFmtId="3" fontId="3" fillId="17" borderId="39" xfId="4" applyNumberFormat="1" applyFont="1" applyFill="1" applyBorder="1" applyAlignment="1">
      <alignment horizontal="right" vertical="center" indent="2"/>
    </xf>
    <xf numFmtId="0" fontId="48" fillId="17" borderId="9" xfId="0" applyFont="1" applyFill="1" applyBorder="1"/>
    <xf numFmtId="9" fontId="48" fillId="17" borderId="27" xfId="0" applyNumberFormat="1" applyFont="1" applyFill="1" applyBorder="1" applyAlignment="1">
      <alignment horizontal="center"/>
    </xf>
    <xf numFmtId="9" fontId="48" fillId="17" borderId="25" xfId="0" applyNumberFormat="1" applyFont="1" applyFill="1" applyBorder="1" applyAlignment="1">
      <alignment horizontal="center"/>
    </xf>
    <xf numFmtId="9" fontId="48" fillId="17" borderId="32" xfId="0" applyNumberFormat="1" applyFont="1" applyFill="1" applyBorder="1" applyAlignment="1">
      <alignment horizontal="center"/>
    </xf>
    <xf numFmtId="9" fontId="46" fillId="17" borderId="27" xfId="0" applyNumberFormat="1" applyFont="1" applyFill="1" applyBorder="1" applyAlignment="1">
      <alignment horizontal="right"/>
    </xf>
    <xf numFmtId="3" fontId="48" fillId="17" borderId="27" xfId="0" applyNumberFormat="1" applyFont="1" applyFill="1" applyBorder="1" applyAlignment="1">
      <alignment horizontal="right" indent="1"/>
    </xf>
    <xf numFmtId="0" fontId="48" fillId="17" borderId="32" xfId="0" applyFont="1" applyFill="1" applyBorder="1" applyAlignment="1">
      <alignment horizontal="center"/>
    </xf>
    <xf numFmtId="0" fontId="48" fillId="17" borderId="195" xfId="0" applyFont="1" applyFill="1" applyBorder="1" applyAlignment="1">
      <alignment horizontal="center"/>
    </xf>
    <xf numFmtId="4" fontId="0" fillId="17" borderId="60" xfId="0" applyNumberFormat="1" applyFill="1" applyBorder="1" applyAlignment="1">
      <alignment horizontal="right" vertical="center" indent="1"/>
    </xf>
    <xf numFmtId="9" fontId="0" fillId="17" borderId="60" xfId="0" applyNumberFormat="1" applyFont="1" applyFill="1" applyBorder="1" applyAlignment="1">
      <alignment horizontal="right" vertical="center"/>
    </xf>
    <xf numFmtId="4" fontId="9" fillId="17" borderId="20" xfId="0" applyNumberFormat="1" applyFont="1" applyFill="1" applyBorder="1" applyAlignment="1">
      <alignment horizontal="right" vertical="center" indent="1"/>
    </xf>
    <xf numFmtId="9" fontId="3" fillId="17" borderId="20" xfId="4" applyNumberFormat="1" applyFont="1" applyFill="1" applyBorder="1" applyAlignment="1">
      <alignment horizontal="right" vertical="center"/>
    </xf>
    <xf numFmtId="173" fontId="9" fillId="17" borderId="86" xfId="0" applyNumberFormat="1" applyFont="1" applyFill="1" applyBorder="1" applyAlignment="1">
      <alignment horizontal="right" vertical="center" indent="2"/>
    </xf>
    <xf numFmtId="173" fontId="0" fillId="17" borderId="86" xfId="0" applyNumberFormat="1" applyFill="1" applyBorder="1" applyAlignment="1">
      <alignment horizontal="right" vertical="center" indent="2"/>
    </xf>
    <xf numFmtId="173" fontId="0" fillId="17" borderId="40" xfId="0" applyNumberFormat="1" applyFill="1" applyBorder="1" applyAlignment="1">
      <alignment horizontal="right" vertical="center" indent="2"/>
    </xf>
    <xf numFmtId="4" fontId="0" fillId="17" borderId="190" xfId="0" applyNumberFormat="1" applyFill="1" applyBorder="1" applyAlignment="1">
      <alignment horizontal="right" vertical="center" indent="2"/>
    </xf>
    <xf numFmtId="4" fontId="9" fillId="17" borderId="113" xfId="0" applyNumberFormat="1" applyFont="1" applyFill="1" applyBorder="1" applyAlignment="1">
      <alignment horizontal="right" vertical="center" indent="1"/>
    </xf>
    <xf numFmtId="9" fontId="0" fillId="17" borderId="113" xfId="0" applyNumberFormat="1" applyFont="1" applyFill="1" applyBorder="1" applyAlignment="1">
      <alignment horizontal="right" vertical="center"/>
    </xf>
    <xf numFmtId="173" fontId="9" fillId="17" borderId="113" xfId="0" applyNumberFormat="1" applyFont="1" applyFill="1" applyBorder="1" applyAlignment="1">
      <alignment horizontal="right" vertical="center" indent="2"/>
    </xf>
    <xf numFmtId="173" fontId="0" fillId="17" borderId="113" xfId="0" applyNumberFormat="1" applyFont="1" applyFill="1" applyBorder="1" applyAlignment="1">
      <alignment horizontal="right" vertical="center" indent="2"/>
    </xf>
    <xf numFmtId="173" fontId="0" fillId="17" borderId="22" xfId="0" applyNumberFormat="1" applyFill="1" applyBorder="1" applyAlignment="1">
      <alignment horizontal="right" vertical="center" indent="2"/>
    </xf>
    <xf numFmtId="173" fontId="0" fillId="17" borderId="38" xfId="0" applyNumberFormat="1" applyFill="1" applyBorder="1" applyAlignment="1">
      <alignment horizontal="right" vertical="center" indent="2"/>
    </xf>
    <xf numFmtId="4" fontId="9" fillId="17" borderId="86" xfId="0" applyNumberFormat="1" applyFont="1" applyFill="1" applyBorder="1" applyAlignment="1">
      <alignment horizontal="right" vertical="center" indent="1"/>
    </xf>
    <xf numFmtId="9" fontId="0" fillId="17" borderId="22" xfId="0" applyNumberFormat="1" applyFont="1" applyFill="1" applyBorder="1" applyAlignment="1">
      <alignment horizontal="right" vertical="center"/>
    </xf>
    <xf numFmtId="173" fontId="9" fillId="17" borderId="22" xfId="0" applyNumberFormat="1" applyFont="1" applyFill="1" applyBorder="1" applyAlignment="1">
      <alignment horizontal="right" vertical="center" indent="2"/>
    </xf>
    <xf numFmtId="173" fontId="0" fillId="17" borderId="22" xfId="0" applyNumberFormat="1" applyFont="1" applyFill="1" applyBorder="1" applyAlignment="1">
      <alignment horizontal="right" vertical="center" indent="2"/>
    </xf>
    <xf numFmtId="0" fontId="9" fillId="17" borderId="86" xfId="0" applyFont="1" applyFill="1" applyBorder="1" applyAlignment="1">
      <alignment horizontal="right" indent="1"/>
    </xf>
    <xf numFmtId="9" fontId="0" fillId="17" borderId="126" xfId="0" applyNumberFormat="1" applyFont="1" applyFill="1" applyBorder="1" applyAlignment="1">
      <alignment horizontal="right" vertical="center"/>
    </xf>
    <xf numFmtId="173" fontId="9" fillId="17" borderId="126" xfId="0" applyNumberFormat="1" applyFont="1" applyFill="1" applyBorder="1" applyAlignment="1">
      <alignment horizontal="center"/>
    </xf>
    <xf numFmtId="173" fontId="0" fillId="17" borderId="126" xfId="0" applyNumberFormat="1" applyFont="1" applyFill="1" applyBorder="1" applyAlignment="1">
      <alignment horizontal="center"/>
    </xf>
    <xf numFmtId="173" fontId="0" fillId="17" borderId="126" xfId="0" applyNumberFormat="1" applyFill="1" applyBorder="1" applyAlignment="1">
      <alignment horizontal="center"/>
    </xf>
    <xf numFmtId="173" fontId="0" fillId="17" borderId="40" xfId="0" applyNumberFormat="1" applyFill="1" applyBorder="1" applyAlignment="1">
      <alignment horizontal="center"/>
    </xf>
    <xf numFmtId="0" fontId="0" fillId="17" borderId="193" xfId="0" applyFont="1" applyFill="1" applyBorder="1" applyAlignment="1">
      <alignment horizontal="center"/>
    </xf>
    <xf numFmtId="0" fontId="0" fillId="17" borderId="126" xfId="0" applyFill="1" applyBorder="1" applyAlignment="1">
      <alignment horizontal="center"/>
    </xf>
    <xf numFmtId="0" fontId="9" fillId="17" borderId="126" xfId="0" applyFont="1" applyFill="1" applyBorder="1" applyAlignment="1">
      <alignment horizontal="right" indent="1"/>
    </xf>
    <xf numFmtId="0" fontId="0" fillId="17" borderId="193" xfId="0" applyFill="1" applyBorder="1" applyAlignment="1">
      <alignment horizontal="center"/>
    </xf>
    <xf numFmtId="0" fontId="48" fillId="0" borderId="80" xfId="0" applyFont="1" applyBorder="1" applyAlignment="1">
      <alignment horizontal="center" vertical="center" wrapText="1"/>
    </xf>
    <xf numFmtId="0" fontId="48" fillId="17" borderId="153" xfId="0" applyFont="1" applyFill="1" applyBorder="1"/>
    <xf numFmtId="9" fontId="48" fillId="17" borderId="193" xfId="0" applyNumberFormat="1" applyFont="1" applyFill="1" applyBorder="1" applyAlignment="1">
      <alignment horizontal="center"/>
    </xf>
    <xf numFmtId="9" fontId="48" fillId="17" borderId="20" xfId="0" applyNumberFormat="1" applyFont="1" applyFill="1" applyBorder="1" applyAlignment="1">
      <alignment horizontal="center"/>
    </xf>
    <xf numFmtId="9" fontId="48" fillId="17" borderId="126" xfId="0" applyNumberFormat="1" applyFont="1" applyFill="1" applyBorder="1" applyAlignment="1">
      <alignment horizontal="center"/>
    </xf>
    <xf numFmtId="9" fontId="46" fillId="17" borderId="126" xfId="0" applyNumberFormat="1" applyFont="1" applyFill="1" applyBorder="1" applyAlignment="1">
      <alignment horizontal="right" indent="1"/>
    </xf>
    <xf numFmtId="9" fontId="48" fillId="17" borderId="126" xfId="0" applyNumberFormat="1" applyFont="1" applyFill="1" applyBorder="1" applyAlignment="1">
      <alignment horizontal="right" vertical="center"/>
    </xf>
    <xf numFmtId="173" fontId="46" fillId="17" borderId="126" xfId="0" applyNumberFormat="1" applyFont="1" applyFill="1" applyBorder="1" applyAlignment="1">
      <alignment horizontal="center"/>
    </xf>
    <xf numFmtId="173" fontId="48" fillId="17" borderId="126" xfId="0" applyNumberFormat="1" applyFont="1" applyFill="1" applyBorder="1" applyAlignment="1">
      <alignment horizontal="center"/>
    </xf>
    <xf numFmtId="173" fontId="48" fillId="17" borderId="40" xfId="0" applyNumberFormat="1" applyFont="1" applyFill="1" applyBorder="1" applyAlignment="1">
      <alignment horizontal="center"/>
    </xf>
    <xf numFmtId="4" fontId="9" fillId="17" borderId="22" xfId="0" applyNumberFormat="1" applyFont="1" applyFill="1" applyBorder="1" applyAlignment="1">
      <alignment horizontal="right" vertical="center" indent="1"/>
    </xf>
    <xf numFmtId="9" fontId="61" fillId="17" borderId="65" xfId="0" applyNumberFormat="1" applyFont="1" applyFill="1" applyBorder="1" applyAlignment="1">
      <alignment horizontal="right" indent="1"/>
    </xf>
    <xf numFmtId="9" fontId="5" fillId="17" borderId="65" xfId="0" applyNumberFormat="1" applyFont="1" applyFill="1" applyBorder="1" applyAlignment="1">
      <alignment horizontal="right" vertical="center"/>
    </xf>
    <xf numFmtId="173" fontId="61" fillId="17" borderId="65" xfId="0" applyNumberFormat="1" applyFont="1" applyFill="1" applyBorder="1" applyAlignment="1">
      <alignment horizontal="right" indent="2"/>
    </xf>
    <xf numFmtId="173" fontId="3" fillId="17" borderId="65" xfId="4" applyNumberFormat="1" applyFont="1" applyFill="1" applyBorder="1" applyAlignment="1">
      <alignment horizontal="right" vertical="center" indent="2"/>
    </xf>
    <xf numFmtId="173" fontId="3" fillId="17" borderId="66" xfId="4" applyNumberFormat="1" applyFont="1" applyFill="1" applyBorder="1" applyAlignment="1">
      <alignment horizontal="right" vertical="center" indent="2"/>
    </xf>
    <xf numFmtId="4" fontId="9" fillId="17" borderId="124" xfId="0" applyNumberFormat="1" applyFont="1" applyFill="1" applyBorder="1" applyAlignment="1">
      <alignment horizontal="right" vertical="center" indent="1"/>
    </xf>
    <xf numFmtId="173" fontId="9" fillId="17" borderId="124" xfId="0" applyNumberFormat="1" applyFont="1" applyFill="1" applyBorder="1" applyAlignment="1">
      <alignment horizontal="right" vertical="center" indent="2"/>
    </xf>
    <xf numFmtId="173" fontId="0" fillId="17" borderId="124" xfId="0" applyNumberFormat="1" applyFont="1" applyFill="1" applyBorder="1" applyAlignment="1">
      <alignment horizontal="right" vertical="center" indent="2"/>
    </xf>
    <xf numFmtId="173" fontId="0" fillId="17" borderId="192" xfId="0" applyNumberFormat="1" applyFill="1" applyBorder="1" applyAlignment="1">
      <alignment horizontal="right" vertical="center" indent="2"/>
    </xf>
    <xf numFmtId="0" fontId="0" fillId="17" borderId="20" xfId="0" applyFill="1" applyBorder="1" applyAlignment="1">
      <alignment horizontal="center"/>
    </xf>
    <xf numFmtId="0" fontId="0" fillId="17" borderId="20" xfId="0" applyFont="1" applyFill="1" applyBorder="1" applyAlignment="1">
      <alignment horizontal="center"/>
    </xf>
    <xf numFmtId="9" fontId="48" fillId="17" borderId="194" xfId="0" applyNumberFormat="1" applyFont="1" applyFill="1" applyBorder="1" applyAlignment="1">
      <alignment horizontal="center"/>
    </xf>
    <xf numFmtId="9" fontId="61" fillId="17" borderId="86" xfId="0" applyNumberFormat="1" applyFont="1" applyFill="1" applyBorder="1" applyAlignment="1">
      <alignment horizontal="right" indent="1"/>
    </xf>
    <xf numFmtId="9" fontId="5" fillId="17" borderId="86" xfId="0" applyNumberFormat="1" applyFont="1" applyFill="1" applyBorder="1" applyAlignment="1">
      <alignment horizontal="right" vertical="center"/>
    </xf>
    <xf numFmtId="173" fontId="61" fillId="17" borderId="86" xfId="0" applyNumberFormat="1" applyFont="1" applyFill="1" applyBorder="1" applyAlignment="1">
      <alignment horizontal="right" indent="2"/>
    </xf>
    <xf numFmtId="173" fontId="3" fillId="17" borderId="86" xfId="4" applyNumberFormat="1" applyFont="1" applyFill="1" applyBorder="1" applyAlignment="1">
      <alignment horizontal="right" vertical="center" indent="2"/>
    </xf>
    <xf numFmtId="173" fontId="3" fillId="17" borderId="39" xfId="4" applyNumberFormat="1" applyFont="1" applyFill="1" applyBorder="1" applyAlignment="1">
      <alignment horizontal="right" vertical="center" indent="2"/>
    </xf>
    <xf numFmtId="0" fontId="0" fillId="0" borderId="9" xfId="0" applyFont="1" applyBorder="1" applyAlignment="1">
      <alignment horizontal="center" vertical="center" wrapText="1"/>
    </xf>
    <xf numFmtId="0" fontId="0" fillId="17" borderId="9" xfId="0" applyFont="1" applyFill="1" applyBorder="1" applyAlignment="1">
      <alignment horizontal="left" vertical="center" wrapText="1"/>
    </xf>
    <xf numFmtId="4" fontId="0" fillId="17" borderId="27" xfId="0" applyNumberFormat="1" applyFill="1" applyBorder="1" applyAlignment="1">
      <alignment horizontal="right" vertical="center" indent="2"/>
    </xf>
    <xf numFmtId="4" fontId="0" fillId="17" borderId="32" xfId="0" applyNumberFormat="1" applyFill="1" applyBorder="1" applyAlignment="1">
      <alignment horizontal="right" vertical="center" indent="2"/>
    </xf>
    <xf numFmtId="4" fontId="0" fillId="17" borderId="25" xfId="0" applyNumberFormat="1" applyFill="1" applyBorder="1" applyAlignment="1">
      <alignment horizontal="right" vertical="center" indent="2"/>
    </xf>
    <xf numFmtId="4" fontId="9" fillId="17" borderId="32" xfId="0" applyNumberFormat="1" applyFont="1" applyFill="1" applyBorder="1" applyAlignment="1">
      <alignment horizontal="right" vertical="center" indent="1"/>
    </xf>
    <xf numFmtId="9" fontId="0" fillId="17" borderId="32" xfId="0" applyNumberFormat="1" applyFont="1" applyFill="1" applyBorder="1" applyAlignment="1">
      <alignment horizontal="right" vertical="center"/>
    </xf>
    <xf numFmtId="173" fontId="0" fillId="17" borderId="32" xfId="0" applyNumberFormat="1" applyFill="1" applyBorder="1" applyAlignment="1">
      <alignment horizontal="right" vertical="center" indent="2"/>
    </xf>
    <xf numFmtId="173" fontId="0" fillId="17" borderId="195" xfId="0" applyNumberFormat="1" applyFill="1" applyBorder="1" applyAlignment="1">
      <alignment horizontal="right" vertical="center" indent="2"/>
    </xf>
    <xf numFmtId="0" fontId="27" fillId="0" borderId="148" xfId="0" applyFont="1" applyBorder="1" applyAlignment="1">
      <alignment horizontal="center" vertical="center" wrapText="1"/>
    </xf>
    <xf numFmtId="0" fontId="33" fillId="0" borderId="150" xfId="0" applyFont="1" applyBorder="1" applyAlignment="1">
      <alignment vertical="center" wrapText="1"/>
    </xf>
    <xf numFmtId="3" fontId="9" fillId="17" borderId="60" xfId="0" applyNumberFormat="1" applyFont="1" applyFill="1" applyBorder="1" applyAlignment="1">
      <alignment horizontal="right" vertical="center" indent="1"/>
    </xf>
    <xf numFmtId="3" fontId="0" fillId="17" borderId="60" xfId="0" applyNumberFormat="1" applyFill="1" applyBorder="1" applyAlignment="1">
      <alignment horizontal="right" vertical="center" indent="1"/>
    </xf>
    <xf numFmtId="3" fontId="9" fillId="17" borderId="86" xfId="0" applyNumberFormat="1" applyFont="1" applyFill="1" applyBorder="1" applyAlignment="1">
      <alignment horizontal="right" vertical="center" indent="1"/>
    </xf>
    <xf numFmtId="3" fontId="0" fillId="17" borderId="86" xfId="0" applyNumberFormat="1" applyFill="1" applyBorder="1" applyAlignment="1">
      <alignment horizontal="right" vertical="center" indent="1"/>
    </xf>
    <xf numFmtId="3" fontId="0" fillId="17" borderId="40" xfId="0" applyNumberFormat="1" applyFill="1" applyBorder="1" applyAlignment="1">
      <alignment horizontal="right" vertical="center" indent="2"/>
    </xf>
    <xf numFmtId="3" fontId="9" fillId="17" borderId="113" xfId="0" applyNumberFormat="1" applyFont="1" applyFill="1" applyBorder="1" applyAlignment="1">
      <alignment horizontal="right" vertical="center" indent="1"/>
    </xf>
    <xf numFmtId="3" fontId="0" fillId="17" borderId="113" xfId="0" applyNumberFormat="1" applyFont="1" applyFill="1" applyBorder="1" applyAlignment="1">
      <alignment horizontal="right" vertical="center" indent="1"/>
    </xf>
    <xf numFmtId="3" fontId="0" fillId="17" borderId="22" xfId="0" applyNumberFormat="1" applyFill="1" applyBorder="1" applyAlignment="1">
      <alignment horizontal="right" vertical="center" indent="1"/>
    </xf>
    <xf numFmtId="3" fontId="9" fillId="17" borderId="22" xfId="0" applyNumberFormat="1" applyFont="1" applyFill="1" applyBorder="1" applyAlignment="1">
      <alignment horizontal="right" vertical="center" indent="1"/>
    </xf>
    <xf numFmtId="3" fontId="0" fillId="17" borderId="22" xfId="0" applyNumberFormat="1" applyFont="1" applyFill="1" applyBorder="1" applyAlignment="1">
      <alignment horizontal="right" vertical="center" indent="1"/>
    </xf>
    <xf numFmtId="3" fontId="9" fillId="17" borderId="124" xfId="0" applyNumberFormat="1" applyFont="1" applyFill="1" applyBorder="1" applyAlignment="1">
      <alignment horizontal="right" vertical="center" indent="1"/>
    </xf>
    <xf numFmtId="3" fontId="61" fillId="17" borderId="65" xfId="0" applyNumberFormat="1" applyFont="1" applyFill="1" applyBorder="1" applyAlignment="1">
      <alignment horizontal="right" indent="1"/>
    </xf>
    <xf numFmtId="3" fontId="3" fillId="17" borderId="65" xfId="4" applyNumberFormat="1" applyFont="1" applyFill="1" applyBorder="1" applyAlignment="1">
      <alignment horizontal="right" vertical="center" indent="1"/>
    </xf>
    <xf numFmtId="3" fontId="61" fillId="17" borderId="86" xfId="0" applyNumberFormat="1" applyFont="1" applyFill="1" applyBorder="1" applyAlignment="1">
      <alignment horizontal="right" indent="1"/>
    </xf>
    <xf numFmtId="3" fontId="3" fillId="17" borderId="86" xfId="4" applyNumberFormat="1" applyFont="1" applyFill="1" applyBorder="1" applyAlignment="1">
      <alignment horizontal="right" vertical="center" indent="1"/>
    </xf>
    <xf numFmtId="3" fontId="0" fillId="17" borderId="32" xfId="0" applyNumberFormat="1" applyFill="1" applyBorder="1" applyAlignment="1">
      <alignment horizontal="right" vertical="center" indent="1"/>
    </xf>
    <xf numFmtId="3" fontId="0" fillId="17" borderId="195" xfId="0" applyNumberFormat="1" applyFill="1" applyBorder="1" applyAlignment="1">
      <alignment horizontal="right" vertical="center" indent="2"/>
    </xf>
    <xf numFmtId="0" fontId="0" fillId="17" borderId="151" xfId="0" applyFill="1" applyBorder="1" applyAlignment="1">
      <alignment horizontal="left" vertical="center" wrapText="1"/>
    </xf>
    <xf numFmtId="173" fontId="0" fillId="0" borderId="0" xfId="0" applyNumberFormat="1" applyAlignment="1">
      <alignment horizontal="right" indent="2"/>
    </xf>
    <xf numFmtId="173" fontId="9" fillId="0" borderId="0" xfId="0" applyNumberFormat="1" applyFont="1" applyAlignment="1">
      <alignment horizontal="right" indent="2"/>
    </xf>
    <xf numFmtId="4" fontId="83" fillId="4" borderId="117" xfId="2" applyNumberFormat="1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4" fontId="9" fillId="0" borderId="0" xfId="0" applyNumberFormat="1" applyFont="1"/>
    <xf numFmtId="4" fontId="9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0" fillId="0" borderId="0" xfId="0" applyNumberFormat="1"/>
    <xf numFmtId="3" fontId="9" fillId="0" borderId="0" xfId="0" applyNumberFormat="1" applyFont="1"/>
    <xf numFmtId="3" fontId="33" fillId="0" borderId="0" xfId="0" applyNumberFormat="1" applyFont="1"/>
    <xf numFmtId="4" fontId="33" fillId="0" borderId="0" xfId="0" applyNumberFormat="1" applyFont="1"/>
    <xf numFmtId="174" fontId="0" fillId="0" borderId="0" xfId="4" applyNumberFormat="1" applyFont="1" applyAlignment="1">
      <alignment horizontal="right" indent="2"/>
    </xf>
    <xf numFmtId="0" fontId="0" fillId="0" borderId="0" xfId="0" applyBorder="1" applyAlignment="1" applyProtection="1">
      <alignment horizontal="left" vertical="top" wrapText="1"/>
    </xf>
    <xf numFmtId="0" fontId="33" fillId="0" borderId="196" xfId="0" applyFont="1" applyBorder="1" applyAlignment="1">
      <alignment horizontal="center" vertical="center" wrapText="1"/>
    </xf>
    <xf numFmtId="3" fontId="0" fillId="17" borderId="119" xfId="0" applyNumberFormat="1" applyFont="1" applyFill="1" applyBorder="1" applyAlignment="1">
      <alignment horizontal="right" vertical="center" indent="2"/>
    </xf>
    <xf numFmtId="3" fontId="0" fillId="17" borderId="0" xfId="0" applyNumberFormat="1" applyFont="1" applyFill="1" applyBorder="1" applyAlignment="1">
      <alignment horizontal="right" vertical="center" indent="2"/>
    </xf>
    <xf numFmtId="3" fontId="0" fillId="17" borderId="59" xfId="0" applyNumberFormat="1" applyFont="1" applyFill="1" applyBorder="1" applyAlignment="1">
      <alignment horizontal="right" vertical="center" indent="2"/>
    </xf>
    <xf numFmtId="3" fontId="0" fillId="17" borderId="122" xfId="0" applyNumberFormat="1" applyFont="1" applyFill="1" applyBorder="1" applyAlignment="1">
      <alignment horizontal="right" vertical="center" indent="2"/>
    </xf>
    <xf numFmtId="3" fontId="3" fillId="17" borderId="19" xfId="4" applyNumberFormat="1" applyFont="1" applyFill="1" applyBorder="1" applyAlignment="1">
      <alignment horizontal="right" vertical="center" indent="2"/>
    </xf>
    <xf numFmtId="3" fontId="3" fillId="17" borderId="123" xfId="4" applyNumberFormat="1" applyFont="1" applyFill="1" applyBorder="1" applyAlignment="1">
      <alignment horizontal="right" vertical="center" indent="2"/>
    </xf>
    <xf numFmtId="3" fontId="3" fillId="17" borderId="189" xfId="4" applyNumberFormat="1" applyFont="1" applyFill="1" applyBorder="1" applyAlignment="1">
      <alignment horizontal="right" vertical="center" indent="2"/>
    </xf>
    <xf numFmtId="3" fontId="0" fillId="17" borderId="21" xfId="0" applyNumberFormat="1" applyFont="1" applyFill="1" applyBorder="1" applyAlignment="1">
      <alignment horizontal="right" vertical="center" indent="2"/>
    </xf>
    <xf numFmtId="3" fontId="0" fillId="17" borderId="21" xfId="0" applyNumberFormat="1" applyFont="1" applyFill="1" applyBorder="1" applyAlignment="1">
      <alignment horizontal="right" vertical="center" indent="1"/>
    </xf>
    <xf numFmtId="3" fontId="3" fillId="17" borderId="122" xfId="4" applyNumberFormat="1" applyFont="1" applyFill="1" applyBorder="1" applyAlignment="1">
      <alignment horizontal="right" vertical="center" indent="2"/>
    </xf>
    <xf numFmtId="3" fontId="48" fillId="17" borderId="26" xfId="0" applyNumberFormat="1" applyFont="1" applyFill="1" applyBorder="1" applyAlignment="1">
      <alignment horizontal="center"/>
    </xf>
    <xf numFmtId="9" fontId="46" fillId="17" borderId="165" xfId="0" applyNumberFormat="1" applyFont="1" applyFill="1" applyBorder="1" applyAlignment="1">
      <alignment horizontal="center"/>
    </xf>
    <xf numFmtId="3" fontId="0" fillId="17" borderId="11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2"/>
    </xf>
    <xf numFmtId="3" fontId="0" fillId="17" borderId="20" xfId="4" applyNumberFormat="1" applyFont="1" applyFill="1" applyBorder="1" applyAlignment="1">
      <alignment horizontal="right" vertical="center" indent="2"/>
    </xf>
    <xf numFmtId="3" fontId="0" fillId="17" borderId="124" xfId="4" applyNumberFormat="1" applyFont="1" applyFill="1" applyBorder="1" applyAlignment="1">
      <alignment horizontal="right" vertical="center" indent="2"/>
    </xf>
    <xf numFmtId="3" fontId="3" fillId="17" borderId="64" xfId="4" applyNumberFormat="1" applyFont="1" applyFill="1" applyBorder="1" applyAlignment="1">
      <alignment horizontal="right" vertical="center" indent="2"/>
    </xf>
    <xf numFmtId="3" fontId="0" fillId="17" borderId="113" xfId="0" applyNumberFormat="1" applyFill="1" applyBorder="1" applyAlignment="1">
      <alignment horizontal="right" vertical="center" indent="2"/>
    </xf>
    <xf numFmtId="3" fontId="3" fillId="17" borderId="116" xfId="4" applyNumberFormat="1" applyFont="1" applyFill="1" applyBorder="1" applyAlignment="1">
      <alignment horizontal="right" vertical="center" indent="2"/>
    </xf>
    <xf numFmtId="0" fontId="48" fillId="17" borderId="27" xfId="0" applyFont="1" applyFill="1" applyBorder="1" applyAlignment="1">
      <alignment horizontal="center"/>
    </xf>
    <xf numFmtId="0" fontId="48" fillId="17" borderId="64" xfId="0" applyFont="1" applyFill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3" fontId="9" fillId="17" borderId="89" xfId="0" applyNumberFormat="1" applyFont="1" applyFill="1" applyBorder="1" applyAlignment="1">
      <alignment horizontal="right" vertical="center" indent="2"/>
    </xf>
    <xf numFmtId="3" fontId="9" fillId="17" borderId="153" xfId="0" applyNumberFormat="1" applyFont="1" applyFill="1" applyBorder="1" applyAlignment="1">
      <alignment horizontal="right" vertical="center" indent="2"/>
    </xf>
    <xf numFmtId="3" fontId="9" fillId="17" borderId="80" xfId="4" applyNumberFormat="1" applyFont="1" applyFill="1" applyBorder="1" applyAlignment="1">
      <alignment horizontal="right" vertical="center" indent="2"/>
    </xf>
    <xf numFmtId="3" fontId="9" fillId="17" borderId="151" xfId="4" applyNumberFormat="1" applyFont="1" applyFill="1" applyBorder="1" applyAlignment="1">
      <alignment horizontal="right" vertical="center" indent="2"/>
    </xf>
    <xf numFmtId="3" fontId="3" fillId="17" borderId="147" xfId="4" applyNumberFormat="1" applyFont="1" applyFill="1" applyBorder="1" applyAlignment="1">
      <alignment horizontal="right" vertical="center" indent="2"/>
    </xf>
    <xf numFmtId="3" fontId="9" fillId="17" borderId="146" xfId="0" applyNumberFormat="1" applyFont="1" applyFill="1" applyBorder="1" applyAlignment="1">
      <alignment horizontal="right" vertical="center" indent="2"/>
    </xf>
    <xf numFmtId="3" fontId="3" fillId="17" borderId="153" xfId="4" applyNumberFormat="1" applyFont="1" applyFill="1" applyBorder="1" applyAlignment="1">
      <alignment horizontal="right" vertical="center" indent="2"/>
    </xf>
    <xf numFmtId="0" fontId="46" fillId="17" borderId="9" xfId="0" applyFont="1" applyFill="1" applyBorder="1" applyAlignment="1">
      <alignment horizontal="center"/>
    </xf>
    <xf numFmtId="0" fontId="48" fillId="17" borderId="147" xfId="0" applyFont="1" applyFill="1" applyBorder="1" applyAlignment="1">
      <alignment horizontal="center"/>
    </xf>
    <xf numFmtId="0" fontId="48" fillId="17" borderId="193" xfId="0" applyFont="1" applyFill="1" applyBorder="1" applyAlignment="1">
      <alignment horizontal="center"/>
    </xf>
    <xf numFmtId="0" fontId="48" fillId="17" borderId="20" xfId="0" applyFont="1" applyFill="1" applyBorder="1" applyAlignment="1">
      <alignment horizontal="center"/>
    </xf>
    <xf numFmtId="0" fontId="48" fillId="17" borderId="126" xfId="0" applyFont="1" applyFill="1" applyBorder="1" applyAlignment="1">
      <alignment horizontal="center"/>
    </xf>
    <xf numFmtId="0" fontId="46" fillId="17" borderId="126" xfId="0" applyFont="1" applyFill="1" applyBorder="1" applyAlignment="1">
      <alignment horizontal="right" indent="1"/>
    </xf>
    <xf numFmtId="9" fontId="5" fillId="0" borderId="0" xfId="0" applyNumberFormat="1" applyFont="1" applyAlignment="1">
      <alignment vertical="top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8" fillId="8" borderId="62" xfId="0" applyFont="1" applyFill="1" applyBorder="1" applyAlignment="1">
      <alignment horizontal="right" vertical="center" wrapText="1"/>
    </xf>
    <xf numFmtId="0" fontId="18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8" fillId="8" borderId="63" xfId="0" applyFont="1" applyFill="1" applyBorder="1" applyAlignment="1">
      <alignment horizontal="right" vertical="center" wrapText="1"/>
    </xf>
    <xf numFmtId="0" fontId="18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17" borderId="38" xfId="0" applyFont="1" applyFill="1" applyBorder="1" applyAlignment="1">
      <alignment horizontal="center" vertical="center" wrapText="1"/>
    </xf>
    <xf numFmtId="49" fontId="18" fillId="17" borderId="22" xfId="0" applyNumberFormat="1" applyFont="1" applyFill="1" applyBorder="1" applyAlignment="1">
      <alignment horizontal="center" vertical="center" wrapText="1"/>
    </xf>
    <xf numFmtId="49" fontId="18" fillId="17" borderId="3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8" fillId="8" borderId="58" xfId="0" applyFont="1" applyFill="1" applyBorder="1" applyAlignment="1">
      <alignment horizontal="right" vertical="center" wrapText="1"/>
    </xf>
    <xf numFmtId="0" fontId="18" fillId="8" borderId="59" xfId="0" applyFont="1" applyFill="1" applyBorder="1" applyAlignment="1">
      <alignment horizontal="right" vertical="center" wrapText="1"/>
    </xf>
    <xf numFmtId="0" fontId="4" fillId="17" borderId="60" xfId="0" applyFont="1" applyFill="1" applyBorder="1" applyAlignment="1">
      <alignment horizontal="center" vertical="center" wrapText="1"/>
    </xf>
    <xf numFmtId="0" fontId="4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9" fillId="0" borderId="125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0" fillId="6" borderId="28" xfId="0" applyFont="1" applyFill="1" applyBorder="1" applyAlignment="1">
      <alignment horizontal="center" vertical="top" wrapText="1"/>
    </xf>
    <xf numFmtId="0" fontId="10" fillId="6" borderId="29" xfId="0" applyFont="1" applyFill="1" applyBorder="1" applyAlignment="1">
      <alignment horizontal="center" vertical="top" wrapText="1"/>
    </xf>
    <xf numFmtId="0" fontId="10" fillId="6" borderId="30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9" fillId="0" borderId="125" xfId="0" applyFont="1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9" fillId="19" borderId="125" xfId="0" applyFont="1" applyFill="1" applyBorder="1" applyAlignment="1">
      <alignment horizontal="left" wrapText="1"/>
    </xf>
    <xf numFmtId="0" fontId="9" fillId="19" borderId="34" xfId="0" applyFont="1" applyFill="1" applyBorder="1" applyAlignment="1">
      <alignment horizontal="left" wrapText="1"/>
    </xf>
    <xf numFmtId="0" fontId="9" fillId="19" borderId="113" xfId="0" applyFont="1" applyFill="1" applyBorder="1" applyAlignment="1">
      <alignment horizontal="left" wrapText="1"/>
    </xf>
    <xf numFmtId="0" fontId="9" fillId="19" borderId="86" xfId="0" applyFont="1" applyFill="1" applyBorder="1" applyAlignment="1">
      <alignment horizontal="center" vertical="top" wrapText="1"/>
    </xf>
    <xf numFmtId="0" fontId="9" fillId="19" borderId="126" xfId="0" applyFont="1" applyFill="1" applyBorder="1" applyAlignment="1">
      <alignment horizontal="center" vertical="top" wrapText="1"/>
    </xf>
    <xf numFmtId="0" fontId="9" fillId="19" borderId="114" xfId="0" applyFont="1" applyFill="1" applyBorder="1" applyAlignment="1">
      <alignment horizontal="center" vertical="top" wrapText="1"/>
    </xf>
    <xf numFmtId="0" fontId="9" fillId="10" borderId="125" xfId="0" applyFont="1" applyFill="1" applyBorder="1" applyAlignment="1">
      <alignment horizontal="center" wrapText="1"/>
    </xf>
    <xf numFmtId="0" fontId="9" fillId="10" borderId="113" xfId="0" applyFont="1" applyFill="1" applyBorder="1" applyAlignment="1">
      <alignment horizontal="center" wrapText="1"/>
    </xf>
    <xf numFmtId="0" fontId="9" fillId="10" borderId="125" xfId="0" applyFont="1" applyFill="1" applyBorder="1" applyAlignment="1">
      <alignment horizontal="center" vertical="center" wrapText="1"/>
    </xf>
    <xf numFmtId="0" fontId="9" fillId="10" borderId="11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63" xfId="0" applyFont="1" applyFill="1" applyBorder="1" applyAlignment="1">
      <alignment horizontal="center" vertical="top" wrapText="1"/>
    </xf>
    <xf numFmtId="0" fontId="10" fillId="6" borderId="165" xfId="0" applyFont="1" applyFill="1" applyBorder="1" applyAlignment="1">
      <alignment horizontal="center" vertical="top" wrapText="1"/>
    </xf>
    <xf numFmtId="0" fontId="10" fillId="6" borderId="166" xfId="0" applyFont="1" applyFill="1" applyBorder="1" applyAlignment="1">
      <alignment horizontal="center" vertical="top" wrapText="1"/>
    </xf>
    <xf numFmtId="0" fontId="9" fillId="7" borderId="24" xfId="0" applyFont="1" applyFill="1" applyBorder="1" applyAlignment="1" applyProtection="1">
      <alignment horizontal="left" vertical="top" wrapText="1"/>
    </xf>
    <xf numFmtId="0" fontId="9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0" xfId="0" applyFill="1" applyBorder="1" applyAlignment="1" applyProtection="1">
      <alignment horizontal="center" vertical="center" wrapText="1"/>
    </xf>
    <xf numFmtId="0" fontId="0" fillId="17" borderId="20" xfId="0" applyFill="1" applyBorder="1" applyAlignment="1" applyProtection="1">
      <alignment horizontal="center" vertical="center" wrapText="1"/>
    </xf>
    <xf numFmtId="0" fontId="0" fillId="18" borderId="14" xfId="0" applyFill="1" applyBorder="1" applyAlignment="1" applyProtection="1">
      <alignment horizontal="center" vertical="center" wrapText="1"/>
    </xf>
    <xf numFmtId="0" fontId="0" fillId="18" borderId="23" xfId="0" applyFill="1" applyBorder="1" applyAlignment="1" applyProtection="1">
      <alignment horizontal="center" vertical="center" wrapText="1"/>
    </xf>
    <xf numFmtId="0" fontId="0" fillId="18" borderId="13" xfId="0" applyFill="1" applyBorder="1" applyAlignment="1" applyProtection="1">
      <alignment horizontal="center" vertical="center" wrapText="1"/>
    </xf>
    <xf numFmtId="0" fontId="0" fillId="18" borderId="24" xfId="0" applyFill="1" applyBorder="1" applyAlignment="1" applyProtection="1">
      <alignment horizontal="center" vertical="center" wrapText="1"/>
    </xf>
    <xf numFmtId="0" fontId="0" fillId="18" borderId="0" xfId="0" applyFill="1" applyBorder="1" applyAlignment="1" applyProtection="1">
      <alignment horizontal="center" vertical="center" wrapText="1"/>
    </xf>
    <xf numFmtId="0" fontId="0" fillId="18" borderId="20" xfId="0" applyFill="1" applyBorder="1" applyAlignment="1" applyProtection="1">
      <alignment horizontal="center" vertical="center" wrapText="1"/>
    </xf>
    <xf numFmtId="0" fontId="0" fillId="18" borderId="19" xfId="0" applyFill="1" applyBorder="1" applyAlignment="1" applyProtection="1">
      <alignment horizontal="center" vertical="center" wrapText="1"/>
    </xf>
    <xf numFmtId="0" fontId="0" fillId="17" borderId="167" xfId="0" applyFill="1" applyBorder="1" applyAlignment="1" applyProtection="1">
      <alignment horizontal="left" vertical="center" wrapText="1"/>
    </xf>
    <xf numFmtId="0" fontId="0" fillId="17" borderId="18" xfId="0" applyFill="1" applyBorder="1" applyAlignment="1" applyProtection="1">
      <alignment horizontal="left" vertical="center" wrapText="1"/>
    </xf>
    <xf numFmtId="0" fontId="0" fillId="17" borderId="116" xfId="0" applyFill="1" applyBorder="1" applyAlignment="1" applyProtection="1">
      <alignment horizontal="left" vertical="center" wrapText="1"/>
    </xf>
    <xf numFmtId="0" fontId="0" fillId="17" borderId="122" xfId="0" applyFill="1" applyBorder="1" applyAlignment="1" applyProtection="1">
      <alignment horizontal="left" vertical="center" wrapText="1"/>
    </xf>
    <xf numFmtId="0" fontId="0" fillId="17" borderId="19" xfId="0" applyFill="1" applyBorder="1" applyAlignment="1" applyProtection="1">
      <alignment horizontal="center" vertical="center" wrapText="1"/>
    </xf>
    <xf numFmtId="0" fontId="0" fillId="17" borderId="33" xfId="0" applyFill="1" applyBorder="1" applyAlignment="1" applyProtection="1">
      <alignment horizontal="left" vertical="center" wrapText="1"/>
    </xf>
    <xf numFmtId="0" fontId="0" fillId="18" borderId="6" xfId="0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7" fillId="10" borderId="0" xfId="0" applyFont="1" applyFill="1" applyAlignment="1">
      <alignment horizontal="left"/>
    </xf>
    <xf numFmtId="0" fontId="52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58" fillId="12" borderId="8" xfId="0" applyFont="1" applyFill="1" applyBorder="1" applyAlignment="1">
      <alignment horizontal="center" vertical="center" wrapText="1"/>
    </xf>
    <xf numFmtId="0" fontId="58" fillId="12" borderId="9" xfId="0" applyFont="1" applyFill="1" applyBorder="1" applyAlignment="1">
      <alignment horizontal="center" vertical="center" wrapText="1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" vertical="top"/>
    </xf>
    <xf numFmtId="0" fontId="2" fillId="26" borderId="80" xfId="0" applyFont="1" applyFill="1" applyBorder="1" applyAlignment="1">
      <alignment horizontal="center" vertical="top"/>
    </xf>
    <xf numFmtId="0" fontId="6" fillId="26" borderId="8" xfId="0" applyFont="1" applyFill="1" applyBorder="1" applyAlignment="1">
      <alignment horizontal="left" vertical="top" wrapText="1"/>
    </xf>
    <xf numFmtId="0" fontId="6" fillId="26" borderId="80" xfId="0" applyFont="1" applyFill="1" applyBorder="1" applyAlignment="1">
      <alignment horizontal="left" vertical="top" wrapText="1"/>
    </xf>
    <xf numFmtId="0" fontId="2" fillId="26" borderId="8" xfId="0" applyFont="1" applyFill="1" applyBorder="1" applyAlignment="1">
      <alignment vertical="top" wrapText="1"/>
    </xf>
    <xf numFmtId="0" fontId="2" fillId="26" borderId="80" xfId="0" applyFont="1" applyFill="1" applyBorder="1" applyAlignment="1">
      <alignment vertical="top" wrapText="1"/>
    </xf>
    <xf numFmtId="2" fontId="4" fillId="5" borderId="91" xfId="3" applyNumberFormat="1" applyFont="1" applyBorder="1" applyAlignment="1">
      <alignment horizontal="right" vertical="top" wrapText="1"/>
    </xf>
    <xf numFmtId="2" fontId="4" fillId="5" borderId="92" xfId="3" applyNumberFormat="1" applyFont="1" applyBorder="1" applyAlignment="1">
      <alignment horizontal="right" vertical="top" wrapText="1"/>
    </xf>
    <xf numFmtId="0" fontId="6" fillId="26" borderId="7" xfId="0" applyFont="1" applyFill="1" applyBorder="1" applyAlignment="1">
      <alignment horizontal="left" vertical="top" wrapText="1"/>
    </xf>
    <xf numFmtId="0" fontId="6" fillId="26" borderId="4" xfId="0" applyFont="1" applyFill="1" applyBorder="1" applyAlignment="1">
      <alignment horizontal="left" vertical="top" wrapText="1"/>
    </xf>
    <xf numFmtId="165" fontId="49" fillId="3" borderId="8" xfId="4" applyNumberFormat="1" applyFont="1" applyFill="1" applyBorder="1" applyAlignment="1">
      <alignment horizontal="right" vertical="top" wrapText="1"/>
    </xf>
    <xf numFmtId="165" fontId="49" fillId="3" borderId="9" xfId="4" applyNumberFormat="1" applyFont="1" applyFill="1" applyBorder="1" applyAlignment="1">
      <alignment horizontal="right" vertical="top" wrapText="1"/>
    </xf>
    <xf numFmtId="165" fontId="49" fillId="3" borderId="8" xfId="4" applyNumberFormat="1" applyFont="1" applyFill="1" applyBorder="1" applyAlignment="1">
      <alignment vertical="top" wrapText="1"/>
    </xf>
    <xf numFmtId="165" fontId="49" fillId="3" borderId="9" xfId="4" applyNumberFormat="1" applyFont="1" applyFill="1" applyBorder="1" applyAlignment="1">
      <alignment vertical="top" wrapText="1"/>
    </xf>
    <xf numFmtId="0" fontId="6" fillId="26" borderId="14" xfId="0" applyFont="1" applyFill="1" applyBorder="1" applyAlignment="1">
      <alignment horizontal="left" vertical="top" wrapText="1"/>
    </xf>
    <xf numFmtId="0" fontId="6" fillId="26" borderId="15" xfId="0" applyFont="1" applyFill="1" applyBorder="1" applyAlignment="1">
      <alignment horizontal="left" vertical="top" wrapText="1"/>
    </xf>
    <xf numFmtId="2" fontId="49" fillId="3" borderId="8" xfId="4" applyNumberFormat="1" applyFont="1" applyFill="1" applyBorder="1" applyAlignment="1">
      <alignment vertical="top" wrapText="1"/>
    </xf>
    <xf numFmtId="2" fontId="49" fillId="3" borderId="9" xfId="4" applyNumberFormat="1" applyFont="1" applyFill="1" applyBorder="1" applyAlignment="1">
      <alignment vertical="top" wrapText="1"/>
    </xf>
    <xf numFmtId="0" fontId="2" fillId="26" borderId="9" xfId="0" applyFont="1" applyFill="1" applyBorder="1" applyAlignment="1">
      <alignment vertical="top" wrapText="1"/>
    </xf>
    <xf numFmtId="0" fontId="6" fillId="26" borderId="11" xfId="0" applyFont="1" applyFill="1" applyBorder="1" applyAlignment="1">
      <alignment horizontal="left" vertical="top" wrapText="1"/>
    </xf>
    <xf numFmtId="0" fontId="6" fillId="26" borderId="12" xfId="0" applyFont="1" applyFill="1" applyBorder="1" applyAlignment="1">
      <alignment horizontal="left" vertical="top" wrapText="1"/>
    </xf>
    <xf numFmtId="0" fontId="6" fillId="26" borderId="8" xfId="0" applyFont="1" applyFill="1" applyBorder="1" applyAlignment="1">
      <alignment horizontal="center" vertical="top" wrapText="1"/>
    </xf>
    <xf numFmtId="0" fontId="6" fillId="26" borderId="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/>
    </xf>
    <xf numFmtId="0" fontId="2" fillId="26" borderId="5" xfId="0" applyFont="1" applyFill="1" applyBorder="1" applyAlignment="1">
      <alignment horizontal="center" vertical="top"/>
    </xf>
    <xf numFmtId="0" fontId="0" fillId="0" borderId="153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3" fillId="22" borderId="14" xfId="0" applyFont="1" applyFill="1" applyBorder="1" applyAlignment="1">
      <alignment horizontal="center"/>
    </xf>
    <xf numFmtId="0" fontId="63" fillId="22" borderId="23" xfId="0" applyFont="1" applyFill="1" applyBorder="1" applyAlignment="1">
      <alignment horizontal="center"/>
    </xf>
  </cellXfs>
  <cellStyles count="10">
    <cellStyle name="Calculation" xfId="2" builtinId="22"/>
    <cellStyle name="Comma" xfId="5" builtinId="3"/>
    <cellStyle name="Currency" xfId="7" builtinId="4"/>
    <cellStyle name="Good" xfId="1" builtinId="26"/>
    <cellStyle name="Hyperlink" xfId="6" builtinId="8"/>
    <cellStyle name="Normal" xfId="0" builtinId="0"/>
    <cellStyle name="Normal 2" xfId="8"/>
    <cellStyle name="Note" xfId="3" builtinId="10"/>
    <cellStyle name="Percent" xfId="4" builtinId="5"/>
    <cellStyle name="Percent 2" xfId="9"/>
  </cellStyles>
  <dxfs count="32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46"/>
  <sheetViews>
    <sheetView showGridLines="0" tabSelected="1" topLeftCell="A13" zoomScaleNormal="100" workbookViewId="0">
      <selection activeCell="C22" sqref="C22:I22"/>
    </sheetView>
  </sheetViews>
  <sheetFormatPr defaultColWidth="8.886718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3">
      <c r="A1" s="36"/>
      <c r="B1" s="36"/>
      <c r="C1" s="36"/>
      <c r="D1" s="36"/>
      <c r="E1" s="36"/>
      <c r="F1" s="36"/>
      <c r="G1" s="36"/>
      <c r="H1" s="36"/>
      <c r="I1" s="36"/>
      <c r="J1" s="279"/>
      <c r="K1" s="280"/>
      <c r="L1" s="280"/>
      <c r="M1" s="280"/>
      <c r="N1" s="280"/>
      <c r="O1" s="280"/>
      <c r="P1" s="280"/>
      <c r="Q1" s="280"/>
      <c r="R1" s="280"/>
    </row>
    <row r="2" spans="1:18" x14ac:dyDescent="0.3">
      <c r="A2" s="36"/>
      <c r="B2" s="36"/>
      <c r="C2" s="36"/>
      <c r="D2" s="36"/>
      <c r="E2" s="36"/>
      <c r="F2" s="36"/>
      <c r="G2" s="36"/>
      <c r="H2" s="36"/>
      <c r="I2" s="36"/>
      <c r="J2" s="280"/>
      <c r="K2" s="280"/>
      <c r="L2" s="280"/>
      <c r="M2" s="280"/>
      <c r="N2" s="280"/>
      <c r="O2" s="280"/>
      <c r="P2" s="280"/>
      <c r="Q2" s="280"/>
      <c r="R2" s="280"/>
    </row>
    <row r="3" spans="1:18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280"/>
      <c r="K3" s="280"/>
      <c r="L3" s="280"/>
      <c r="M3" s="280"/>
      <c r="N3" s="280"/>
      <c r="O3" s="280"/>
      <c r="P3" s="280"/>
      <c r="Q3" s="280"/>
      <c r="R3" s="280"/>
    </row>
    <row r="4" spans="1:18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280"/>
      <c r="K4" s="280"/>
      <c r="L4" s="280"/>
      <c r="M4" s="280"/>
      <c r="N4" s="280"/>
      <c r="O4" s="280"/>
      <c r="P4" s="280"/>
      <c r="Q4" s="280"/>
      <c r="R4" s="280"/>
    </row>
    <row r="5" spans="1:18" x14ac:dyDescent="0.3">
      <c r="A5" s="36"/>
      <c r="B5" s="36"/>
      <c r="C5" s="36"/>
      <c r="D5" s="36"/>
      <c r="E5" s="36"/>
      <c r="F5" s="36"/>
      <c r="G5" s="36"/>
      <c r="H5" s="36"/>
      <c r="I5" s="36"/>
      <c r="J5" s="280"/>
      <c r="K5" s="280"/>
      <c r="L5" s="280"/>
      <c r="M5" s="280"/>
      <c r="N5" s="280"/>
      <c r="O5" s="280"/>
      <c r="P5" s="280"/>
      <c r="Q5" s="280"/>
      <c r="R5" s="280"/>
    </row>
    <row r="6" spans="1:18" ht="62.1" customHeight="1" x14ac:dyDescent="0.6">
      <c r="A6" s="1028" t="s">
        <v>111</v>
      </c>
      <c r="B6" s="1028"/>
      <c r="C6" s="1028"/>
      <c r="D6" s="1028"/>
      <c r="E6" s="1028"/>
      <c r="F6" s="1028"/>
      <c r="G6" s="1028"/>
      <c r="H6" s="1028"/>
      <c r="I6" s="1028"/>
      <c r="J6" s="280"/>
      <c r="K6" s="280"/>
      <c r="L6" s="280"/>
      <c r="M6" s="280"/>
      <c r="N6" s="280"/>
      <c r="O6" s="280"/>
      <c r="P6" s="280"/>
      <c r="Q6" s="280"/>
      <c r="R6" s="280"/>
    </row>
    <row r="7" spans="1:18" ht="18.75" customHeight="1" x14ac:dyDescent="0.35">
      <c r="A7" s="1007" t="s">
        <v>65</v>
      </c>
      <c r="B7" s="1007"/>
      <c r="C7" s="1007"/>
      <c r="D7" s="1007"/>
      <c r="E7" s="1007"/>
      <c r="F7" s="1007"/>
      <c r="G7" s="1007"/>
      <c r="H7" s="1007"/>
      <c r="I7" s="1007"/>
      <c r="J7" s="280"/>
      <c r="K7" s="280"/>
      <c r="L7" s="280"/>
      <c r="M7" s="280"/>
      <c r="N7" s="280"/>
      <c r="O7" s="280"/>
      <c r="P7" s="280"/>
      <c r="Q7" s="280"/>
      <c r="R7" s="280"/>
    </row>
    <row r="8" spans="1:18" x14ac:dyDescent="0.3">
      <c r="A8" s="1029" t="s">
        <v>60</v>
      </c>
      <c r="B8" s="1029"/>
      <c r="C8" s="1029"/>
      <c r="D8" s="1029"/>
      <c r="E8" s="1029"/>
      <c r="F8" s="1029"/>
      <c r="G8" s="1029"/>
      <c r="H8" s="1029"/>
      <c r="I8" s="1029"/>
      <c r="J8" s="280"/>
      <c r="K8" s="280"/>
      <c r="L8" s="280"/>
      <c r="M8" s="280"/>
      <c r="N8" s="280"/>
      <c r="O8" s="280"/>
      <c r="P8" s="280"/>
      <c r="Q8" s="280"/>
      <c r="R8" s="280"/>
    </row>
    <row r="9" spans="1:18" ht="15" customHeight="1" x14ac:dyDescent="0.3">
      <c r="A9" s="1029"/>
      <c r="B9" s="1029"/>
      <c r="C9" s="1029"/>
      <c r="D9" s="1029"/>
      <c r="E9" s="1029"/>
      <c r="F9" s="1029"/>
      <c r="G9" s="1029"/>
      <c r="H9" s="1029"/>
      <c r="I9" s="1029"/>
      <c r="J9" s="280"/>
      <c r="K9" s="280"/>
      <c r="L9" s="280"/>
      <c r="M9" s="280"/>
      <c r="N9" s="280"/>
      <c r="O9" s="280"/>
      <c r="P9" s="280"/>
      <c r="Q9" s="280"/>
      <c r="R9" s="280"/>
    </row>
    <row r="10" spans="1:18" ht="48.6" customHeight="1" x14ac:dyDescent="0.3">
      <c r="A10" s="1029"/>
      <c r="B10" s="1029"/>
      <c r="C10" s="1029"/>
      <c r="D10" s="1029"/>
      <c r="E10" s="1029"/>
      <c r="F10" s="1029"/>
      <c r="G10" s="1029"/>
      <c r="H10" s="1029"/>
      <c r="I10" s="1029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18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280"/>
      <c r="K11" s="280"/>
      <c r="L11" s="280"/>
      <c r="M11" s="280"/>
      <c r="N11" s="280"/>
      <c r="O11" s="280"/>
      <c r="P11" s="280"/>
      <c r="Q11" s="280"/>
      <c r="R11" s="280"/>
    </row>
    <row r="12" spans="1:18" x14ac:dyDescent="0.3">
      <c r="A12" s="36"/>
      <c r="B12" s="36"/>
      <c r="C12" s="36"/>
      <c r="D12" s="36"/>
      <c r="E12" s="36"/>
      <c r="F12" s="36"/>
      <c r="G12" s="36"/>
      <c r="H12" s="36"/>
      <c r="I12" s="36"/>
      <c r="J12" s="280"/>
      <c r="K12" s="280"/>
      <c r="L12" s="280"/>
      <c r="M12" s="280"/>
      <c r="N12" s="280"/>
      <c r="O12" s="280"/>
      <c r="P12" s="280"/>
      <c r="Q12" s="280"/>
      <c r="R12" s="280"/>
    </row>
    <row r="13" spans="1:18" x14ac:dyDescent="0.3">
      <c r="A13" s="36"/>
      <c r="B13" s="36"/>
      <c r="C13" s="36"/>
      <c r="D13" s="36"/>
      <c r="E13" s="36"/>
      <c r="F13" s="36"/>
      <c r="G13" s="36"/>
      <c r="H13" s="36"/>
      <c r="I13" s="36"/>
      <c r="J13" s="280"/>
      <c r="K13" s="280"/>
      <c r="L13" s="280"/>
      <c r="M13" s="280"/>
      <c r="N13" s="280"/>
      <c r="O13" s="280"/>
      <c r="P13" s="280"/>
      <c r="Q13" s="280"/>
      <c r="R13" s="280"/>
    </row>
    <row r="14" spans="1:18" x14ac:dyDescent="0.3">
      <c r="A14" s="36"/>
      <c r="B14" s="36"/>
      <c r="C14" s="36"/>
      <c r="D14" s="36"/>
      <c r="E14" s="36"/>
      <c r="F14" s="36"/>
      <c r="G14" s="36"/>
      <c r="H14" s="36"/>
      <c r="I14" s="36"/>
      <c r="J14" s="280"/>
      <c r="K14" s="280"/>
      <c r="L14" s="280"/>
      <c r="M14" s="280"/>
      <c r="N14" s="280"/>
      <c r="O14" s="280"/>
      <c r="P14" s="280"/>
      <c r="Q14" s="280"/>
      <c r="R14" s="280"/>
    </row>
    <row r="15" spans="1:18" x14ac:dyDescent="0.3">
      <c r="A15" s="36"/>
      <c r="B15" s="36"/>
      <c r="C15" s="36"/>
      <c r="D15" s="36"/>
      <c r="E15" s="36"/>
      <c r="F15" s="36"/>
      <c r="G15" s="36"/>
      <c r="H15" s="36"/>
      <c r="I15" s="36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x14ac:dyDescent="0.3">
      <c r="B16" s="36"/>
      <c r="C16" s="36"/>
      <c r="D16" s="36"/>
      <c r="E16" s="36"/>
      <c r="F16" s="36"/>
      <c r="G16" s="36"/>
      <c r="H16" s="36"/>
      <c r="I16" s="36"/>
      <c r="J16" s="280"/>
      <c r="K16" s="280"/>
      <c r="L16" s="280"/>
      <c r="M16" s="280"/>
      <c r="N16" s="280"/>
      <c r="O16" s="280"/>
      <c r="P16" s="280"/>
      <c r="Q16" s="280"/>
      <c r="R16" s="280"/>
    </row>
    <row r="17" spans="1:18" x14ac:dyDescent="0.3">
      <c r="B17" s="36"/>
      <c r="C17" s="36"/>
      <c r="D17" s="36"/>
      <c r="E17" s="36"/>
      <c r="F17" s="36"/>
      <c r="G17" s="36"/>
      <c r="H17" s="36"/>
      <c r="I17" s="36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8" ht="15" thickBot="1" x14ac:dyDescent="0.35">
      <c r="B18" s="36"/>
      <c r="C18" s="36"/>
      <c r="D18" s="36"/>
      <c r="E18" s="36"/>
      <c r="F18" s="36"/>
      <c r="G18" s="36"/>
      <c r="H18" s="36"/>
      <c r="I18" s="36"/>
      <c r="J18" s="280"/>
      <c r="K18" s="280"/>
      <c r="L18" s="280"/>
      <c r="M18" s="280"/>
      <c r="N18" s="280"/>
      <c r="O18" s="280"/>
      <c r="P18" s="280"/>
      <c r="Q18" s="280"/>
      <c r="R18" s="280"/>
    </row>
    <row r="19" spans="1:18" x14ac:dyDescent="0.3">
      <c r="A19" s="1030" t="s">
        <v>112</v>
      </c>
      <c r="B19" s="1031"/>
      <c r="C19" s="1032" t="s">
        <v>319</v>
      </c>
      <c r="D19" s="1032"/>
      <c r="E19" s="1032"/>
      <c r="F19" s="1032"/>
      <c r="G19" s="1032"/>
      <c r="H19" s="1032"/>
      <c r="I19" s="1033"/>
      <c r="J19" s="280"/>
      <c r="K19" s="280"/>
      <c r="L19" s="280"/>
      <c r="M19" s="280"/>
      <c r="N19" s="280"/>
      <c r="O19" s="280"/>
      <c r="P19" s="280"/>
      <c r="Q19" s="280"/>
      <c r="R19" s="280"/>
    </row>
    <row r="20" spans="1:18" x14ac:dyDescent="0.3">
      <c r="A20" s="1008" t="s">
        <v>116</v>
      </c>
      <c r="B20" s="1009"/>
      <c r="C20" s="1024"/>
      <c r="D20" s="1024"/>
      <c r="E20" s="1024"/>
      <c r="F20" s="1024"/>
      <c r="G20" s="1024"/>
      <c r="H20" s="1024"/>
      <c r="I20" s="1025"/>
      <c r="J20" s="280"/>
      <c r="K20" s="280"/>
      <c r="L20" s="280"/>
      <c r="M20" s="280"/>
      <c r="N20" s="280"/>
      <c r="O20" s="280"/>
      <c r="P20" s="280"/>
      <c r="Q20" s="280"/>
      <c r="R20" s="280"/>
    </row>
    <row r="21" spans="1:18" x14ac:dyDescent="0.3">
      <c r="A21" s="1008" t="s">
        <v>115</v>
      </c>
      <c r="B21" s="1009"/>
      <c r="C21" s="1024"/>
      <c r="D21" s="1024"/>
      <c r="E21" s="1024"/>
      <c r="F21" s="1024"/>
      <c r="G21" s="1024"/>
      <c r="H21" s="1024"/>
      <c r="I21" s="1025"/>
      <c r="J21" s="280"/>
      <c r="K21" s="280"/>
      <c r="L21" s="280"/>
      <c r="M21" s="280"/>
      <c r="N21" s="280"/>
      <c r="O21" s="280"/>
      <c r="P21" s="280"/>
      <c r="Q21" s="280"/>
      <c r="R21" s="280"/>
    </row>
    <row r="22" spans="1:18" ht="14.4" customHeight="1" x14ac:dyDescent="0.3">
      <c r="A22" s="1008" t="s">
        <v>51</v>
      </c>
      <c r="B22" s="1009"/>
      <c r="C22" s="1024" t="s">
        <v>320</v>
      </c>
      <c r="D22" s="1024"/>
      <c r="E22" s="1024"/>
      <c r="F22" s="1024"/>
      <c r="G22" s="1024"/>
      <c r="H22" s="1024"/>
      <c r="I22" s="1025"/>
      <c r="J22" s="280"/>
      <c r="K22" s="280"/>
      <c r="L22" s="280"/>
      <c r="M22" s="280"/>
      <c r="N22" s="280"/>
      <c r="O22" s="280"/>
      <c r="P22" s="280"/>
      <c r="Q22" s="280"/>
      <c r="R22" s="280"/>
    </row>
    <row r="23" spans="1:18" x14ac:dyDescent="0.3">
      <c r="A23" s="1008" t="s">
        <v>52</v>
      </c>
      <c r="B23" s="1009"/>
      <c r="C23" s="1024" t="s">
        <v>597</v>
      </c>
      <c r="D23" s="1024"/>
      <c r="E23" s="1024"/>
      <c r="F23" s="1024"/>
      <c r="G23" s="1024"/>
      <c r="H23" s="1024"/>
      <c r="I23" s="1025"/>
      <c r="J23" s="280"/>
      <c r="K23" s="280"/>
      <c r="L23" s="280"/>
      <c r="M23" s="280"/>
      <c r="N23" s="280"/>
      <c r="O23" s="280"/>
      <c r="P23" s="280"/>
      <c r="Q23" s="280"/>
      <c r="R23" s="280"/>
    </row>
    <row r="24" spans="1:18" x14ac:dyDescent="0.3">
      <c r="A24" s="1008" t="s">
        <v>53</v>
      </c>
      <c r="B24" s="1009"/>
      <c r="C24" s="1024" t="s">
        <v>598</v>
      </c>
      <c r="D24" s="1024"/>
      <c r="E24" s="1024"/>
      <c r="F24" s="1024"/>
      <c r="G24" s="1024"/>
      <c r="H24" s="1024"/>
      <c r="I24" s="1025"/>
      <c r="J24" s="280"/>
      <c r="K24" s="280"/>
      <c r="L24" s="280"/>
      <c r="M24" s="280"/>
      <c r="N24" s="280"/>
      <c r="O24" s="280"/>
      <c r="P24" s="280"/>
      <c r="Q24" s="280"/>
      <c r="R24" s="280"/>
    </row>
    <row r="25" spans="1:18" x14ac:dyDescent="0.3">
      <c r="A25" s="1008" t="s">
        <v>54</v>
      </c>
      <c r="B25" s="1009"/>
      <c r="C25" s="1024" t="s">
        <v>321</v>
      </c>
      <c r="D25" s="1024"/>
      <c r="E25" s="1024"/>
      <c r="F25" s="1024"/>
      <c r="G25" s="1024"/>
      <c r="H25" s="1024"/>
      <c r="I25" s="1025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1:18" x14ac:dyDescent="0.3">
      <c r="A26" s="1008" t="s">
        <v>55</v>
      </c>
      <c r="B26" s="1009"/>
      <c r="C26" s="1026" t="s">
        <v>322</v>
      </c>
      <c r="D26" s="1026"/>
      <c r="E26" s="1026"/>
      <c r="F26" s="1026"/>
      <c r="G26" s="1026"/>
      <c r="H26" s="1026"/>
      <c r="I26" s="1027"/>
      <c r="J26" s="280"/>
      <c r="K26" s="280"/>
      <c r="L26" s="280"/>
      <c r="M26" s="280"/>
      <c r="N26" s="280"/>
      <c r="O26" s="280"/>
      <c r="P26" s="280"/>
      <c r="Q26" s="280"/>
      <c r="R26" s="280"/>
    </row>
    <row r="27" spans="1:18" ht="19.350000000000001" customHeight="1" x14ac:dyDescent="0.3">
      <c r="A27" s="1008" t="s">
        <v>56</v>
      </c>
      <c r="B27" s="1009"/>
      <c r="C27" s="1010" t="s">
        <v>323</v>
      </c>
      <c r="D27" s="1010"/>
      <c r="E27" s="1010"/>
      <c r="F27" s="1010"/>
      <c r="G27" s="1010"/>
      <c r="H27" s="1010"/>
      <c r="I27" s="1011"/>
      <c r="J27" s="280"/>
      <c r="K27" s="280"/>
      <c r="L27" s="280"/>
      <c r="M27" s="280"/>
      <c r="N27" s="280"/>
      <c r="O27" s="280"/>
      <c r="P27" s="280"/>
      <c r="Q27" s="280"/>
      <c r="R27" s="280"/>
    </row>
    <row r="28" spans="1:18" ht="33" customHeight="1" thickBot="1" x14ac:dyDescent="0.35">
      <c r="A28" s="1012" t="s">
        <v>57</v>
      </c>
      <c r="B28" s="1013"/>
      <c r="C28" s="1014"/>
      <c r="D28" s="1014"/>
      <c r="E28" s="1014"/>
      <c r="F28" s="1014"/>
      <c r="G28" s="1014"/>
      <c r="H28" s="1014"/>
      <c r="I28" s="1015"/>
      <c r="J28" s="280"/>
      <c r="K28" s="280"/>
      <c r="L28" s="280"/>
      <c r="M28" s="280"/>
      <c r="N28" s="280"/>
      <c r="O28" s="280"/>
      <c r="P28" s="280"/>
      <c r="Q28" s="280"/>
      <c r="R28" s="280"/>
    </row>
    <row r="29" spans="1:18" x14ac:dyDescent="0.3">
      <c r="A29" s="36"/>
      <c r="B29" s="36"/>
      <c r="C29" s="36"/>
      <c r="D29" s="36"/>
      <c r="E29" s="36"/>
      <c r="F29" s="36"/>
      <c r="G29" s="36"/>
      <c r="H29" s="36"/>
      <c r="I29" s="36"/>
      <c r="J29" s="280"/>
      <c r="K29" s="280"/>
      <c r="L29" s="280"/>
      <c r="M29" s="280"/>
      <c r="N29" s="280"/>
      <c r="O29" s="280"/>
      <c r="P29" s="280"/>
      <c r="Q29" s="280"/>
      <c r="R29" s="280"/>
    </row>
    <row r="30" spans="1:18" ht="15" thickBot="1" x14ac:dyDescent="0.35">
      <c r="A30" s="1016" t="s">
        <v>61</v>
      </c>
      <c r="B30" s="1016"/>
      <c r="C30" s="1016"/>
      <c r="D30" s="1016"/>
      <c r="E30" s="1016"/>
      <c r="F30" s="1016"/>
      <c r="G30" s="1016"/>
      <c r="H30" s="1016"/>
      <c r="I30" s="1016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1:18" ht="14.4" customHeight="1" x14ac:dyDescent="0.3">
      <c r="A31" s="1017" t="s">
        <v>58</v>
      </c>
      <c r="B31" s="1018"/>
      <c r="C31" s="1001" t="s">
        <v>59</v>
      </c>
      <c r="D31" s="1001"/>
      <c r="E31" s="1022" t="s">
        <v>62</v>
      </c>
      <c r="F31" s="1022"/>
      <c r="G31" s="1003" t="s">
        <v>63</v>
      </c>
      <c r="H31" s="1003"/>
      <c r="I31" s="1005" t="s">
        <v>64</v>
      </c>
      <c r="J31" s="280"/>
      <c r="K31" s="280"/>
      <c r="L31" s="280"/>
      <c r="M31" s="280"/>
      <c r="N31" s="280"/>
      <c r="O31" s="280"/>
      <c r="P31" s="280"/>
      <c r="Q31" s="280"/>
      <c r="R31" s="280"/>
    </row>
    <row r="32" spans="1:18" ht="15" thickBot="1" x14ac:dyDescent="0.35">
      <c r="A32" s="1019"/>
      <c r="B32" s="1020"/>
      <c r="C32" s="1021"/>
      <c r="D32" s="1021"/>
      <c r="E32" s="1023"/>
      <c r="F32" s="1023"/>
      <c r="G32" s="1004"/>
      <c r="H32" s="1004"/>
      <c r="I32" s="1006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18" x14ac:dyDescent="0.3">
      <c r="A33" s="1001"/>
      <c r="B33" s="1001"/>
      <c r="C33" s="1001"/>
      <c r="D33" s="1001"/>
      <c r="E33" s="1001"/>
      <c r="F33" s="1001"/>
      <c r="G33" s="1001"/>
      <c r="H33" s="1001"/>
      <c r="I33" s="1001"/>
      <c r="J33" s="280"/>
      <c r="K33" s="280"/>
      <c r="L33" s="280"/>
      <c r="M33" s="280"/>
      <c r="N33" s="280"/>
      <c r="O33" s="280"/>
      <c r="P33" s="280"/>
      <c r="Q33" s="280"/>
      <c r="R33" s="280"/>
    </row>
    <row r="34" spans="1:18" x14ac:dyDescent="0.3">
      <c r="A34" s="1002"/>
      <c r="B34" s="1002"/>
      <c r="C34" s="1002"/>
      <c r="D34" s="1002"/>
      <c r="E34" s="1002"/>
      <c r="F34" s="1002"/>
      <c r="G34" s="1002"/>
      <c r="H34" s="1002"/>
      <c r="I34" s="1002"/>
      <c r="J34" s="280"/>
      <c r="K34" s="280"/>
      <c r="L34" s="280"/>
      <c r="M34" s="280"/>
      <c r="N34" s="280"/>
      <c r="O34" s="280"/>
      <c r="P34" s="280"/>
      <c r="Q34" s="280"/>
      <c r="R34" s="280"/>
    </row>
    <row r="35" spans="1:18" x14ac:dyDescent="0.3">
      <c r="A35" s="1002"/>
      <c r="B35" s="1002"/>
      <c r="C35" s="1002"/>
      <c r="D35" s="1002"/>
      <c r="E35" s="1002"/>
      <c r="F35" s="1002"/>
      <c r="G35" s="1002"/>
      <c r="H35" s="1002"/>
      <c r="I35" s="1002"/>
      <c r="J35" s="280"/>
      <c r="K35" s="280"/>
      <c r="L35" s="280"/>
      <c r="M35" s="280"/>
      <c r="N35" s="280"/>
      <c r="O35" s="280"/>
      <c r="P35" s="280"/>
      <c r="Q35" s="280"/>
      <c r="R35" s="280"/>
    </row>
    <row r="36" spans="1:18" x14ac:dyDescent="0.3">
      <c r="A36" s="82"/>
      <c r="B36" s="82"/>
      <c r="C36" s="36"/>
      <c r="D36" s="36"/>
      <c r="E36" s="36"/>
      <c r="F36" s="36"/>
      <c r="G36" s="36"/>
      <c r="H36" s="36"/>
      <c r="I36" s="36"/>
      <c r="J36" s="280"/>
      <c r="K36" s="280"/>
      <c r="L36" s="280"/>
      <c r="M36" s="280"/>
      <c r="N36" s="280"/>
      <c r="O36" s="280"/>
      <c r="P36" s="280"/>
      <c r="Q36" s="280"/>
      <c r="R36" s="280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280"/>
      <c r="K37" s="280"/>
      <c r="L37" s="280"/>
      <c r="M37" s="280"/>
      <c r="N37" s="280"/>
      <c r="O37" s="280"/>
      <c r="P37" s="280"/>
      <c r="Q37" s="280"/>
      <c r="R37" s="280"/>
    </row>
    <row r="38" spans="1:18" x14ac:dyDescent="0.3">
      <c r="A38" s="36"/>
      <c r="B38" s="36"/>
      <c r="C38" s="36"/>
      <c r="D38" s="36"/>
      <c r="E38" s="36"/>
      <c r="F38" s="36"/>
      <c r="G38" s="36"/>
      <c r="H38" s="36"/>
      <c r="I38" s="36"/>
      <c r="J38" s="280"/>
      <c r="K38" s="280"/>
      <c r="L38" s="280"/>
      <c r="M38" s="280"/>
      <c r="N38" s="280"/>
      <c r="O38" s="280"/>
      <c r="P38" s="280"/>
      <c r="Q38" s="280"/>
      <c r="R38" s="280"/>
    </row>
    <row r="39" spans="1:18" x14ac:dyDescent="0.3">
      <c r="A39" s="36"/>
      <c r="B39" s="36"/>
      <c r="C39" s="36"/>
      <c r="D39" s="36"/>
      <c r="E39" s="36"/>
      <c r="F39" s="36"/>
      <c r="G39" s="36"/>
      <c r="H39" s="36"/>
      <c r="I39" s="36"/>
      <c r="J39" s="280"/>
      <c r="K39" s="280"/>
      <c r="L39" s="280"/>
      <c r="M39" s="280"/>
      <c r="N39" s="280"/>
      <c r="O39" s="280"/>
      <c r="P39" s="280"/>
      <c r="Q39" s="280"/>
      <c r="R39" s="280"/>
    </row>
    <row r="40" spans="1:18" x14ac:dyDescent="0.3">
      <c r="A40" s="36"/>
      <c r="B40" s="36"/>
      <c r="C40" s="36"/>
      <c r="D40" s="36"/>
      <c r="E40" s="36"/>
      <c r="F40" s="36"/>
      <c r="G40" s="36"/>
      <c r="H40" s="36"/>
      <c r="I40" s="36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8" x14ac:dyDescent="0.3">
      <c r="A41" s="36"/>
      <c r="B41" s="36"/>
      <c r="C41" s="36"/>
      <c r="D41" s="36"/>
      <c r="E41" s="36"/>
      <c r="F41" s="36"/>
      <c r="G41" s="36"/>
      <c r="H41" s="36"/>
      <c r="I41" s="36"/>
      <c r="J41" s="280"/>
      <c r="K41" s="280"/>
      <c r="L41" s="280"/>
      <c r="M41" s="280"/>
      <c r="N41" s="280"/>
      <c r="O41" s="280"/>
      <c r="P41" s="280"/>
      <c r="Q41" s="280"/>
      <c r="R41" s="280"/>
    </row>
    <row r="42" spans="1:18" x14ac:dyDescent="0.3">
      <c r="A42" s="36"/>
      <c r="B42" s="36"/>
      <c r="C42" s="36"/>
      <c r="D42" s="36"/>
      <c r="E42" s="36"/>
      <c r="F42" s="36"/>
      <c r="G42" s="36"/>
      <c r="H42" s="36"/>
      <c r="I42" s="36"/>
      <c r="J42" s="280"/>
      <c r="K42" s="280"/>
      <c r="L42" s="280"/>
      <c r="M42" s="280"/>
      <c r="N42" s="280"/>
      <c r="O42" s="280"/>
      <c r="P42" s="280"/>
      <c r="Q42" s="280"/>
      <c r="R42" s="280"/>
    </row>
    <row r="43" spans="1:18" x14ac:dyDescent="0.3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3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3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3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zoomScale="90" zoomScaleNormal="90" workbookViewId="0">
      <pane ySplit="2" topLeftCell="A3" activePane="bottomLeft" state="frozen"/>
      <selection pane="bottomLeft" activeCell="A21" sqref="A21"/>
    </sheetView>
  </sheetViews>
  <sheetFormatPr defaultColWidth="8.88671875" defaultRowHeight="14.4" x14ac:dyDescent="0.3"/>
  <cols>
    <col min="1" max="1" width="25.44140625" customWidth="1"/>
    <col min="2" max="2" width="79" bestFit="1" customWidth="1"/>
    <col min="3" max="3" width="70" bestFit="1" customWidth="1"/>
  </cols>
  <sheetData>
    <row r="1" spans="1:3" ht="18.600000000000001" thickBot="1" x14ac:dyDescent="0.4">
      <c r="A1" s="257" t="s">
        <v>224</v>
      </c>
    </row>
    <row r="2" spans="1:3" ht="15" thickBot="1" x14ac:dyDescent="0.35">
      <c r="A2" s="265" t="s">
        <v>246</v>
      </c>
      <c r="B2" s="266" t="s">
        <v>247</v>
      </c>
      <c r="C2" s="267" t="s">
        <v>252</v>
      </c>
    </row>
    <row r="3" spans="1:3" x14ac:dyDescent="0.3">
      <c r="A3" s="275" t="s">
        <v>225</v>
      </c>
      <c r="B3" s="268" t="s">
        <v>249</v>
      </c>
      <c r="C3" s="231" t="s">
        <v>248</v>
      </c>
    </row>
    <row r="4" spans="1:3" x14ac:dyDescent="0.3">
      <c r="A4" s="276" t="s">
        <v>226</v>
      </c>
      <c r="B4" s="269" t="s">
        <v>250</v>
      </c>
      <c r="C4" s="270" t="s">
        <v>251</v>
      </c>
    </row>
    <row r="5" spans="1:3" x14ac:dyDescent="0.3">
      <c r="A5" s="276" t="s">
        <v>227</v>
      </c>
      <c r="B5" s="269" t="s">
        <v>253</v>
      </c>
      <c r="C5" s="270" t="s">
        <v>251</v>
      </c>
    </row>
    <row r="6" spans="1:3" x14ac:dyDescent="0.3">
      <c r="A6" s="276" t="s">
        <v>203</v>
      </c>
      <c r="B6" s="269" t="s">
        <v>254</v>
      </c>
      <c r="C6" s="229" t="s">
        <v>256</v>
      </c>
    </row>
    <row r="7" spans="1:3" x14ac:dyDescent="0.3">
      <c r="A7" s="276" t="s">
        <v>228</v>
      </c>
      <c r="B7" s="269" t="s">
        <v>255</v>
      </c>
      <c r="C7" s="270" t="s">
        <v>251</v>
      </c>
    </row>
    <row r="8" spans="1:3" x14ac:dyDescent="0.3">
      <c r="A8" s="276" t="s">
        <v>229</v>
      </c>
      <c r="B8" s="269" t="s">
        <v>257</v>
      </c>
      <c r="C8" s="229" t="s">
        <v>258</v>
      </c>
    </row>
    <row r="9" spans="1:3" x14ac:dyDescent="0.3">
      <c r="A9" s="276" t="s">
        <v>230</v>
      </c>
      <c r="B9" s="269" t="s">
        <v>259</v>
      </c>
      <c r="C9" s="270" t="s">
        <v>251</v>
      </c>
    </row>
    <row r="10" spans="1:3" x14ac:dyDescent="0.3">
      <c r="A10" s="276" t="s">
        <v>231</v>
      </c>
      <c r="B10" s="269" t="s">
        <v>260</v>
      </c>
      <c r="C10" s="229" t="s">
        <v>258</v>
      </c>
    </row>
    <row r="11" spans="1:3" x14ac:dyDescent="0.3">
      <c r="A11" s="276" t="s">
        <v>232</v>
      </c>
      <c r="B11" s="269" t="s">
        <v>261</v>
      </c>
      <c r="C11" s="229" t="s">
        <v>258</v>
      </c>
    </row>
    <row r="12" spans="1:3" x14ac:dyDescent="0.3">
      <c r="A12" s="276" t="s">
        <v>233</v>
      </c>
      <c r="B12" s="269" t="s">
        <v>262</v>
      </c>
      <c r="C12" s="229" t="s">
        <v>258</v>
      </c>
    </row>
    <row r="13" spans="1:3" x14ac:dyDescent="0.3">
      <c r="A13" s="276" t="s">
        <v>234</v>
      </c>
      <c r="B13" s="269" t="s">
        <v>263</v>
      </c>
      <c r="C13" s="229" t="s">
        <v>258</v>
      </c>
    </row>
    <row r="14" spans="1:3" x14ac:dyDescent="0.3">
      <c r="A14" s="276" t="s">
        <v>235</v>
      </c>
      <c r="B14" s="269" t="s">
        <v>294</v>
      </c>
      <c r="C14" s="229" t="s">
        <v>264</v>
      </c>
    </row>
    <row r="15" spans="1:3" x14ac:dyDescent="0.3">
      <c r="A15" s="276" t="s">
        <v>293</v>
      </c>
      <c r="B15" s="269" t="s">
        <v>295</v>
      </c>
      <c r="C15" s="229" t="s">
        <v>258</v>
      </c>
    </row>
    <row r="16" spans="1:3" x14ac:dyDescent="0.3">
      <c r="A16" s="276" t="s">
        <v>240</v>
      </c>
      <c r="B16" s="269" t="s">
        <v>265</v>
      </c>
      <c r="C16" s="229" t="s">
        <v>266</v>
      </c>
    </row>
    <row r="17" spans="1:3" x14ac:dyDescent="0.3">
      <c r="A17" s="276" t="s">
        <v>241</v>
      </c>
      <c r="B17" s="269" t="s">
        <v>267</v>
      </c>
      <c r="C17" s="229" t="s">
        <v>268</v>
      </c>
    </row>
    <row r="18" spans="1:3" ht="28.8" x14ac:dyDescent="0.3">
      <c r="A18" s="276" t="s">
        <v>242</v>
      </c>
      <c r="B18" s="274" t="s">
        <v>269</v>
      </c>
      <c r="C18" s="277" t="s">
        <v>270</v>
      </c>
    </row>
    <row r="19" spans="1:3" x14ac:dyDescent="0.3">
      <c r="A19" s="276" t="s">
        <v>243</v>
      </c>
      <c r="B19" s="269" t="s">
        <v>271</v>
      </c>
      <c r="C19" s="229" t="s">
        <v>272</v>
      </c>
    </row>
    <row r="20" spans="1:3" x14ac:dyDescent="0.3">
      <c r="A20" s="276" t="s">
        <v>244</v>
      </c>
      <c r="B20" s="269" t="s">
        <v>273</v>
      </c>
      <c r="C20" s="229" t="s">
        <v>275</v>
      </c>
    </row>
    <row r="21" spans="1:3" x14ac:dyDescent="0.3">
      <c r="A21" s="276" t="s">
        <v>245</v>
      </c>
      <c r="B21" s="269" t="s">
        <v>274</v>
      </c>
      <c r="C21" s="229" t="s">
        <v>275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32"/>
  <sheetViews>
    <sheetView showGridLines="0" topLeftCell="D1" zoomScale="80" zoomScaleNormal="80" workbookViewId="0">
      <pane ySplit="3" topLeftCell="A4" activePane="bottomLeft" state="frozen"/>
      <selection pane="bottomLeft" activeCell="V13" sqref="V13"/>
    </sheetView>
  </sheetViews>
  <sheetFormatPr defaultColWidth="9.109375" defaultRowHeight="14.4" x14ac:dyDescent="0.3"/>
  <cols>
    <col min="1" max="1" width="9.109375" style="437"/>
    <col min="2" max="2" width="9.109375" style="437" customWidth="1"/>
    <col min="3" max="3" width="32" style="437" customWidth="1"/>
    <col min="4" max="6" width="13.44140625" style="437" bestFit="1" customWidth="1"/>
    <col min="7" max="7" width="11.6640625" style="437" bestFit="1" customWidth="1"/>
    <col min="8" max="8" width="19.88671875" style="437" customWidth="1"/>
    <col min="9" max="9" width="13.88671875" style="437" bestFit="1" customWidth="1"/>
    <col min="10" max="10" width="9.109375" style="437"/>
    <col min="11" max="12" width="3.88671875" style="437" customWidth="1"/>
    <col min="13" max="14" width="9.109375" style="437"/>
    <col min="15" max="15" width="32.33203125" style="437" customWidth="1"/>
    <col min="16" max="17" width="15.44140625" style="437" bestFit="1" customWidth="1"/>
    <col min="18" max="18" width="13.44140625" style="437" customWidth="1"/>
    <col min="19" max="19" width="11.44140625" style="437" customWidth="1"/>
    <col min="20" max="20" width="12.5546875" style="437" customWidth="1"/>
    <col min="21" max="21" width="15.44140625" style="437" bestFit="1" customWidth="1"/>
    <col min="22" max="22" width="12.6640625" style="437" bestFit="1" customWidth="1"/>
    <col min="23" max="16384" width="9.109375" style="437"/>
  </cols>
  <sheetData>
    <row r="1" spans="1:22" ht="21.75" customHeight="1" thickBot="1" x14ac:dyDescent="0.35">
      <c r="A1" s="1034" t="s">
        <v>311</v>
      </c>
      <c r="B1" s="1034"/>
      <c r="C1" s="1034"/>
      <c r="D1" s="436"/>
      <c r="E1" s="436"/>
      <c r="F1" s="436"/>
      <c r="G1" s="436"/>
      <c r="H1" s="436"/>
      <c r="I1" s="436"/>
      <c r="J1" s="436"/>
      <c r="K1" s="436"/>
      <c r="L1" s="436"/>
      <c r="M1" s="1034" t="s">
        <v>312</v>
      </c>
      <c r="N1" s="1034"/>
      <c r="O1" s="1034"/>
    </row>
    <row r="2" spans="1:22" ht="61.2" customHeight="1" x14ac:dyDescent="0.3">
      <c r="A2" s="1035"/>
      <c r="B2" s="1036"/>
      <c r="C2" s="1037"/>
      <c r="D2" s="512" t="str">
        <f>'Parametre - Agendové IS'!G1</f>
        <v>1. Podpora workflow pre inšpekčnú a povoľovaciu činnosť</v>
      </c>
      <c r="E2" s="512">
        <f>'Parametre - Agendové IS'!J1</f>
        <v>0</v>
      </c>
      <c r="F2" s="512">
        <f>'Parametre - Agendové IS'!M1</f>
        <v>0</v>
      </c>
      <c r="G2" s="513">
        <f>'Parametre - Agendové IS'!P1</f>
        <v>0</v>
      </c>
      <c r="H2" s="515" t="s">
        <v>302</v>
      </c>
      <c r="I2" s="514" t="s">
        <v>103</v>
      </c>
      <c r="M2" s="1035"/>
      <c r="N2" s="1036"/>
      <c r="O2" s="1037"/>
      <c r="P2" s="515" t="str">
        <f>'Rozpočet - vývoj Aplikácií'!$C$4</f>
        <v>1. Podpora workflow pre inšpekčnú a povoľovaciu činnosť</v>
      </c>
      <c r="Q2" s="515" t="e">
        <f>'Rozpočet - vývoj Aplikácií'!#REF!</f>
        <v>#REF!</v>
      </c>
      <c r="R2" s="515" t="e">
        <f>'Rozpočet - vývoj Aplikácií'!#REF!</f>
        <v>#REF!</v>
      </c>
      <c r="S2" s="515" t="e">
        <f>'Rozpočet - vývoj Aplikácií'!#REF!</f>
        <v>#REF!</v>
      </c>
      <c r="T2" s="515" t="s">
        <v>302</v>
      </c>
      <c r="U2" s="572" t="s">
        <v>103</v>
      </c>
    </row>
    <row r="3" spans="1:22" x14ac:dyDescent="0.3">
      <c r="A3" s="281" t="s">
        <v>316</v>
      </c>
      <c r="B3" s="282"/>
      <c r="C3" s="283"/>
      <c r="D3" s="284">
        <f>D4+D5+D9+D13+D14</f>
        <v>2789475.9740572204</v>
      </c>
      <c r="E3" s="284">
        <f>E4+E5+E9+E13+E14</f>
        <v>0</v>
      </c>
      <c r="F3" s="284">
        <f>F4+F5+F9+F13+F14</f>
        <v>0</v>
      </c>
      <c r="G3" s="285">
        <f>G4+G5+G9+G13+G14</f>
        <v>0</v>
      </c>
      <c r="H3" s="284">
        <f>H5+H9+H13+H14</f>
        <v>408542.69958025467</v>
      </c>
      <c r="I3" s="438">
        <f>SUM(D3:H3)</f>
        <v>3198018.6736374749</v>
      </c>
      <c r="M3" s="281" t="s">
        <v>316</v>
      </c>
      <c r="N3" s="282"/>
      <c r="O3" s="283"/>
      <c r="P3" s="284">
        <f>P4+P5+P9+P13+P14</f>
        <v>3107361.9325490198</v>
      </c>
      <c r="Q3" s="284">
        <f>Q4+Q5+Q9+Q13+Q14</f>
        <v>0</v>
      </c>
      <c r="R3" s="284">
        <f>R4+R5+R9+R13+R14</f>
        <v>0</v>
      </c>
      <c r="S3" s="285">
        <f>S4+S5+S9+S13+S14</f>
        <v>0</v>
      </c>
      <c r="T3" s="284">
        <f>T5+T9+T13+T14</f>
        <v>435790.06745098036</v>
      </c>
      <c r="U3" s="438">
        <f>SUM(P3:T3)</f>
        <v>3543152</v>
      </c>
    </row>
    <row r="4" spans="1:22" x14ac:dyDescent="0.3">
      <c r="A4" s="286"/>
      <c r="B4" s="287" t="s">
        <v>68</v>
      </c>
      <c r="C4" s="288"/>
      <c r="D4" s="460">
        <f>'Parametre - Agendové IS'!I117+NPV(Faktory!$D$5,'Parametre - Agendové IS'!I118:I126)</f>
        <v>0</v>
      </c>
      <c r="E4" s="460">
        <f>'Parametre - Agendové IS'!L117+NPV(Faktory!$D$5,'Parametre - Agendové IS'!L118:L126)</f>
        <v>0</v>
      </c>
      <c r="F4" s="460">
        <f>'Parametre - Agendové IS'!O117+NPV(Faktory!$D$5,'Parametre - Agendové IS'!O118:O126)</f>
        <v>0</v>
      </c>
      <c r="G4" s="461">
        <f>'Parametre - Agendové IS'!R117+NPV(Faktory!$D$5,'Parametre - Agendové IS'!R118:R126)</f>
        <v>0</v>
      </c>
      <c r="H4" s="518" t="s">
        <v>209</v>
      </c>
      <c r="I4" s="462">
        <f>SUM(D4:H4)</f>
        <v>0</v>
      </c>
      <c r="M4" s="286"/>
      <c r="N4" s="287" t="s">
        <v>68</v>
      </c>
      <c r="O4" s="288"/>
      <c r="P4" s="460">
        <f>SUM('Parametre - Agendové IS'!I117:I126)</f>
        <v>0</v>
      </c>
      <c r="Q4" s="460">
        <f>SUM('Parametre - Agendové IS'!L117:L126)</f>
        <v>0</v>
      </c>
      <c r="R4" s="460">
        <f>SUM('Parametre - Agendové IS'!O117:O126)</f>
        <v>0</v>
      </c>
      <c r="S4" s="461">
        <f>SUM('Parametre - Agendové IS'!R117:R126)</f>
        <v>0</v>
      </c>
      <c r="T4" s="518" t="s">
        <v>209</v>
      </c>
      <c r="U4" s="462">
        <f>SUM(P4:T4)</f>
        <v>0</v>
      </c>
    </row>
    <row r="5" spans="1:22" x14ac:dyDescent="0.3">
      <c r="A5" s="286"/>
      <c r="B5" s="287" t="s">
        <v>207</v>
      </c>
      <c r="C5" s="288"/>
      <c r="D5" s="460">
        <f>SUM(D6:D8)</f>
        <v>1442144</v>
      </c>
      <c r="E5" s="460">
        <f>SUM(E6:E8)</f>
        <v>0</v>
      </c>
      <c r="F5" s="460">
        <f>SUM(F6:F8)</f>
        <v>0</v>
      </c>
      <c r="G5" s="461">
        <f>SUM(G6:G8)</f>
        <v>0</v>
      </c>
      <c r="H5" s="460">
        <f>SUM(H6:H8)</f>
        <v>284256</v>
      </c>
      <c r="I5" s="462">
        <f>SUM(D5:H5)</f>
        <v>1726400</v>
      </c>
      <c r="M5" s="286"/>
      <c r="N5" s="287" t="s">
        <v>207</v>
      </c>
      <c r="O5" s="288"/>
      <c r="P5" s="460">
        <f>SUM(P6:P8)</f>
        <v>1442144</v>
      </c>
      <c r="Q5" s="460">
        <f>SUM(Q6:Q8)</f>
        <v>0</v>
      </c>
      <c r="R5" s="460">
        <f>SUM(R6:R8)</f>
        <v>0</v>
      </c>
      <c r="S5" s="461">
        <f>SUM(S6:S8)</f>
        <v>0</v>
      </c>
      <c r="T5" s="460">
        <f>SUM(T6+T7)</f>
        <v>284256</v>
      </c>
      <c r="U5" s="462">
        <f>SUM(P5:T5)</f>
        <v>1726400</v>
      </c>
    </row>
    <row r="6" spans="1:22" x14ac:dyDescent="0.3">
      <c r="A6" s="289"/>
      <c r="B6" s="290"/>
      <c r="C6" s="291" t="s">
        <v>105</v>
      </c>
      <c r="D6" s="463">
        <f>('TCO TO BE- SW'!G26+NPV(Faktory!$D$5,'TCO TO BE- SW'!G27:G35)+'TCO TO BE- SW'!G36+NPV(Faktory!$D$5,'TCO TO BE- SW'!G37:G45)+'TCO TO BE- SW'!G46+NPV(Faktory!$D$5,'TCO TO BE- SW'!G47:G55))</f>
        <v>1378944</v>
      </c>
      <c r="E6" s="463">
        <f>('TCO TO BE- SW'!H26+NPV(Faktory!$D$5,'TCO TO BE- SW'!H27:H35)+'TCO TO BE- SW'!H36+NPV(Faktory!$D$5,'TCO TO BE- SW'!H37:H45)+'TCO TO BE- SW'!H46+NPV(Faktory!$D$5,'TCO TO BE- SW'!H47:H55))</f>
        <v>0</v>
      </c>
      <c r="F6" s="463">
        <f>('TCO TO BE- SW'!I26+NPV(Faktory!$D$5,'TCO TO BE- SW'!I27:I35)+'TCO TO BE- SW'!I36+NPV(Faktory!$D$5,'TCO TO BE- SW'!I37:I45)+'TCO TO BE- SW'!I46+NPV(Faktory!$D$5,'TCO TO BE- SW'!I47:I55))</f>
        <v>0</v>
      </c>
      <c r="G6" s="463">
        <f>('TCO TO BE- SW'!J26+NPV(Faktory!$D$5,'TCO TO BE- SW'!J27:J35)+'TCO TO BE- SW'!J36+NPV(Faktory!$D$5,'TCO TO BE- SW'!J37:J45)+'TCO TO BE- SW'!J46+NPV(Faktory!$D$5,'TCO TO BE- SW'!J47:J55))</f>
        <v>0</v>
      </c>
      <c r="H6" s="463">
        <f>('TCO TO BE- SW'!K26+NPV(Faktory!$D$5,'TCO TO BE- SW'!K27:K35)+'TCO TO BE- SW'!K36+NPV(Faktory!$D$5,'TCO TO BE- SW'!K37:K45)+'TCO TO BE- SW'!K46+NPV(Faktory!$D$5,'TCO TO BE- SW'!K47:K55))</f>
        <v>284256</v>
      </c>
      <c r="I6" s="465">
        <f>SUM(D6:H6)</f>
        <v>1663200</v>
      </c>
      <c r="M6" s="289"/>
      <c r="N6" s="290"/>
      <c r="O6" s="291" t="s">
        <v>105</v>
      </c>
      <c r="P6" s="463">
        <f>'TCO TO BE- SW'!G25</f>
        <v>1378944</v>
      </c>
      <c r="Q6" s="463">
        <f>'TCO TO BE- SW'!H25</f>
        <v>0</v>
      </c>
      <c r="R6" s="463">
        <f>'TCO TO BE- SW'!I25</f>
        <v>0</v>
      </c>
      <c r="S6" s="463">
        <f>'TCO TO BE- SW'!J25</f>
        <v>0</v>
      </c>
      <c r="T6" s="463">
        <f>'TCO TO BE- SW'!K25</f>
        <v>284256</v>
      </c>
      <c r="U6" s="465">
        <f>SUM(P6:T6)</f>
        <v>1663200</v>
      </c>
    </row>
    <row r="7" spans="1:22" x14ac:dyDescent="0.3">
      <c r="A7" s="289"/>
      <c r="B7" s="290"/>
      <c r="C7" s="291" t="s">
        <v>67</v>
      </c>
      <c r="D7" s="463">
        <f>('TCO TO BE- SW'!G5+NPV(Faktory!$D$5,'TCO TO BE- SW'!G6:G14)+'TCO TO BE- SW'!G15+NPV(Faktory!$D$5,'TCO TO BE- SW'!G16:G24))</f>
        <v>0</v>
      </c>
      <c r="E7" s="463">
        <f>('TCO TO BE- SW'!H5+NPV(Faktory!$D$5,'TCO TO BE- SW'!H6:H14)+'TCO TO BE- SW'!H15+NPV(Faktory!$D$5,'TCO TO BE- SW'!H16:H24))</f>
        <v>0</v>
      </c>
      <c r="F7" s="463">
        <f>('TCO TO BE- SW'!I5+NPV(Faktory!$D$5,'TCO TO BE- SW'!I6:I14)+'TCO TO BE- SW'!I15+NPV(Faktory!$D$5,'TCO TO BE- SW'!I16:I24))</f>
        <v>0</v>
      </c>
      <c r="G7" s="463">
        <f>('TCO TO BE- SW'!J5+NPV(Faktory!$D$5,'TCO TO BE- SW'!J6:J14)+'TCO TO BE- SW'!J15+NPV(Faktory!$D$5,'TCO TO BE- SW'!J16:J24))</f>
        <v>0</v>
      </c>
      <c r="H7" s="463">
        <f>('TCO TO BE- SW'!K5+NPV(Faktory!$D$5,'TCO TO BE- SW'!K6:K14)+'TCO TO BE- SW'!K15+NPV(Faktory!$D$5,'TCO TO BE- SW'!K16:K24))</f>
        <v>0</v>
      </c>
      <c r="I7" s="465">
        <f>SUM(D7:H7)</f>
        <v>0</v>
      </c>
      <c r="M7" s="289"/>
      <c r="N7" s="290"/>
      <c r="O7" s="291" t="s">
        <v>67</v>
      </c>
      <c r="P7" s="463">
        <f>'TCO TO BE- SW'!G4</f>
        <v>0</v>
      </c>
      <c r="Q7" s="463">
        <f>'TCO TO BE- SW'!H4</f>
        <v>0</v>
      </c>
      <c r="R7" s="463">
        <f>'TCO TO BE- SW'!I4</f>
        <v>0</v>
      </c>
      <c r="S7" s="463">
        <f>'TCO TO BE- SW'!J4</f>
        <v>0</v>
      </c>
      <c r="T7" s="463">
        <f>'TCO TO BE- SW'!K4</f>
        <v>0</v>
      </c>
      <c r="U7" s="465">
        <f>SUM(P7:T7)</f>
        <v>0</v>
      </c>
    </row>
    <row r="8" spans="1:22" x14ac:dyDescent="0.3">
      <c r="A8" s="289"/>
      <c r="B8" s="290"/>
      <c r="C8" s="291" t="s">
        <v>66</v>
      </c>
      <c r="D8" s="463">
        <f>('TCO TO BE - HW'!F4+NPV(Faktory!$D$5,'TCO TO BE - HW'!F5:F13)+'TCO TO BE - HW'!F14+NPV(Faktory!$D$5,'TCO TO BE - HW'!F15:F23)+'TCO TO BE - HW'!F24+NPV(Faktory!$D$5,'TCO TO BE - HW'!F25:F33))</f>
        <v>63200</v>
      </c>
      <c r="E8" s="463">
        <f>('TCO TO BE - HW'!G4+NPV(Faktory!$D$5,'TCO TO BE - HW'!G5:G13)+'TCO TO BE - HW'!G14+NPV(Faktory!$D$5,'TCO TO BE - HW'!G15:G23)+'TCO TO BE - HW'!G24+NPV(Faktory!$D$5,'TCO TO BE - HW'!G25:G33))</f>
        <v>0</v>
      </c>
      <c r="F8" s="463">
        <f>('TCO TO BE - HW'!H4+NPV(Faktory!$D$5,'TCO TO BE - HW'!H5:H13)+'TCO TO BE - HW'!H14+NPV(Faktory!$D$5,'TCO TO BE - HW'!H15:H23)+'TCO TO BE - HW'!H24+NPV(Faktory!$D$5,'TCO TO BE - HW'!H25:H33))</f>
        <v>0</v>
      </c>
      <c r="G8" s="463">
        <f>('TCO TO BE - HW'!I4+NPV(Faktory!$D$5,'TCO TO BE - HW'!I5:I13)+'TCO TO BE - HW'!I14+NPV(Faktory!$D$5,'TCO TO BE - HW'!I15:I23)+'TCO TO BE - HW'!I24+NPV(Faktory!$D$5,'TCO TO BE - HW'!I25:I33))</f>
        <v>0</v>
      </c>
      <c r="H8" s="466" t="s">
        <v>209</v>
      </c>
      <c r="I8" s="465">
        <f t="shared" ref="I8:I17" si="0">SUM(D8:G8)</f>
        <v>63200</v>
      </c>
      <c r="M8" s="289"/>
      <c r="N8" s="290"/>
      <c r="O8" s="291" t="s">
        <v>66</v>
      </c>
      <c r="P8" s="463">
        <f>'TCO TO BE - HW'!F3</f>
        <v>63200</v>
      </c>
      <c r="Q8" s="463">
        <f>'TCO TO BE - HW'!G3</f>
        <v>0</v>
      </c>
      <c r="R8" s="463">
        <f>'TCO TO BE - HW'!H3</f>
        <v>0</v>
      </c>
      <c r="S8" s="463">
        <f>'TCO TO BE - HW'!I3</f>
        <v>0</v>
      </c>
      <c r="T8" s="466" t="s">
        <v>209</v>
      </c>
      <c r="U8" s="465">
        <f t="shared" ref="U8:U23" si="1">SUM(P8:S8)</f>
        <v>63200</v>
      </c>
    </row>
    <row r="9" spans="1:22" x14ac:dyDescent="0.3">
      <c r="A9" s="286"/>
      <c r="B9" s="287" t="s">
        <v>208</v>
      </c>
      <c r="C9" s="288"/>
      <c r="D9" s="460">
        <f>SUM(D10:D12)</f>
        <v>1194114.0415082006</v>
      </c>
      <c r="E9" s="460">
        <f>SUM(E10:E12)</f>
        <v>0</v>
      </c>
      <c r="F9" s="460">
        <f>SUM(F10:F12)</f>
        <v>0</v>
      </c>
      <c r="G9" s="461">
        <f>SUM(G10:G12)</f>
        <v>0</v>
      </c>
      <c r="H9" s="460">
        <f>SUM(H10:H12)</f>
        <v>102352.63212927434</v>
      </c>
      <c r="I9" s="462">
        <f>SUM(D9:H9)</f>
        <v>1296466.6736374749</v>
      </c>
      <c r="M9" s="286"/>
      <c r="N9" s="287" t="s">
        <v>208</v>
      </c>
      <c r="O9" s="288"/>
      <c r="P9" s="460">
        <f>SUM(P10:P12)</f>
        <v>1512000</v>
      </c>
      <c r="Q9" s="460">
        <f>SUM(Q10:Q12)</f>
        <v>0</v>
      </c>
      <c r="R9" s="460">
        <f>SUM(R10:R12)</f>
        <v>0</v>
      </c>
      <c r="S9" s="461">
        <f>SUM(S10:S12)</f>
        <v>0</v>
      </c>
      <c r="T9" s="460">
        <f>SUM(T10+T11)</f>
        <v>129600</v>
      </c>
      <c r="U9" s="462">
        <f>SUM(P9:T9)</f>
        <v>1641600</v>
      </c>
    </row>
    <row r="10" spans="1:22" x14ac:dyDescent="0.3">
      <c r="A10" s="289"/>
      <c r="B10" s="290"/>
      <c r="C10" s="291" t="s">
        <v>105</v>
      </c>
      <c r="D10" s="463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1194114.0415082006</v>
      </c>
      <c r="E10" s="463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F10" s="463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G10" s="463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H10" s="463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102352.63212927434</v>
      </c>
      <c r="I10" s="465">
        <f>SUM(D10:H10)</f>
        <v>1296466.6736374749</v>
      </c>
      <c r="M10" s="289"/>
      <c r="N10" s="290"/>
      <c r="O10" s="291" t="s">
        <v>105</v>
      </c>
      <c r="P10" s="463">
        <f>'TCO TO BE- SW'!G78</f>
        <v>1512000</v>
      </c>
      <c r="Q10" s="463">
        <f>'TCO TO BE- SW'!H78</f>
        <v>0</v>
      </c>
      <c r="R10" s="463">
        <f>'TCO TO BE- SW'!I78</f>
        <v>0</v>
      </c>
      <c r="S10" s="463">
        <f>'TCO TO BE- SW'!J78</f>
        <v>0</v>
      </c>
      <c r="T10" s="463">
        <f>'TCO TO BE- SW'!K78</f>
        <v>129600</v>
      </c>
      <c r="U10" s="465">
        <f>SUM(P10:T10)</f>
        <v>1641600</v>
      </c>
    </row>
    <row r="11" spans="1:22" x14ac:dyDescent="0.3">
      <c r="A11" s="289"/>
      <c r="B11" s="290"/>
      <c r="C11" s="291" t="s">
        <v>67</v>
      </c>
      <c r="D11" s="463">
        <f>('TCO TO BE- SW'!G58+NPV(Faktory!$D$5,'TCO TO BE- SW'!G59:G67)+'TCO TO BE- SW'!G68+NPV(Faktory!$D$5,'TCO TO BE- SW'!G69:G77))</f>
        <v>0</v>
      </c>
      <c r="E11" s="463">
        <f>('TCO TO BE- SW'!H58+NPV(Faktory!$D$5,'TCO TO BE- SW'!H59:H67)+'TCO TO BE- SW'!H68+NPV(Faktory!$D$5,'TCO TO BE- SW'!H69:H77))</f>
        <v>0</v>
      </c>
      <c r="F11" s="463">
        <f>('TCO TO BE- SW'!I58+NPV(Faktory!$D$5,'TCO TO BE- SW'!I59:I67)+'TCO TO BE- SW'!I68+NPV(Faktory!$D$5,'TCO TO BE- SW'!I69:I77))</f>
        <v>0</v>
      </c>
      <c r="G11" s="463">
        <f>('TCO TO BE- SW'!J58+NPV(Faktory!$D$5,'TCO TO BE- SW'!J59:J67)+'TCO TO BE- SW'!J68+NPV(Faktory!$D$5,'TCO TO BE- SW'!J69:J77))</f>
        <v>0</v>
      </c>
      <c r="H11" s="463">
        <f>('TCO TO BE- SW'!K58+NPV(Faktory!$D$5,'TCO TO BE- SW'!K59:K67)+'TCO TO BE- SW'!K68+NPV(Faktory!$D$5,'TCO TO BE- SW'!K69:K77))</f>
        <v>0</v>
      </c>
      <c r="I11" s="465">
        <f>SUM(D11:H11)</f>
        <v>0</v>
      </c>
      <c r="M11" s="289"/>
      <c r="N11" s="290"/>
      <c r="O11" s="291" t="s">
        <v>67</v>
      </c>
      <c r="P11" s="463">
        <f>'TCO TO BE- SW'!G57</f>
        <v>0</v>
      </c>
      <c r="Q11" s="463">
        <f>'TCO TO BE- SW'!H57</f>
        <v>0</v>
      </c>
      <c r="R11" s="463">
        <f>'TCO TO BE- SW'!I57</f>
        <v>0</v>
      </c>
      <c r="S11" s="463">
        <f>'TCO TO BE- SW'!J57</f>
        <v>0</v>
      </c>
      <c r="T11" s="463">
        <f>'TCO TO BE- SW'!K57</f>
        <v>0</v>
      </c>
      <c r="U11" s="465">
        <f>SUM(P11:T11)</f>
        <v>0</v>
      </c>
    </row>
    <row r="12" spans="1:22" x14ac:dyDescent="0.3">
      <c r="A12" s="289"/>
      <c r="B12" s="290"/>
      <c r="C12" s="291" t="s">
        <v>66</v>
      </c>
      <c r="D12" s="463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463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463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463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466" t="s">
        <v>209</v>
      </c>
      <c r="I12" s="465">
        <f t="shared" si="0"/>
        <v>0</v>
      </c>
      <c r="M12" s="289"/>
      <c r="N12" s="290"/>
      <c r="O12" s="291" t="s">
        <v>66</v>
      </c>
      <c r="P12" s="463">
        <f>'TCO TO BE - HW'!F34</f>
        <v>0</v>
      </c>
      <c r="Q12" s="463">
        <f>'TCO TO BE - HW'!G34</f>
        <v>0</v>
      </c>
      <c r="R12" s="463">
        <f>'TCO TO BE - HW'!H34</f>
        <v>0</v>
      </c>
      <c r="S12" s="463">
        <f>'TCO TO BE - HW'!I34</f>
        <v>0</v>
      </c>
      <c r="T12" s="466" t="s">
        <v>209</v>
      </c>
      <c r="U12" s="465">
        <f t="shared" si="1"/>
        <v>0</v>
      </c>
    </row>
    <row r="13" spans="1:22" x14ac:dyDescent="0.3">
      <c r="A13" s="289"/>
      <c r="B13" s="287" t="s">
        <v>276</v>
      </c>
      <c r="C13" s="288"/>
      <c r="D13" s="521">
        <f>'TCO TO BE- SW'!G130+NPV(0.05,'TCO TO BE- SW'!G131:G139)+'TCO TO BE- SW'!G140+NPV(0.05,'TCO TO BE- SW'!G141:G149)</f>
        <v>153217.93254901961</v>
      </c>
      <c r="E13" s="521">
        <f>'TCO TO BE- SW'!H130+NPV(0.05,'TCO TO BE- SW'!H131:H139)+'TCO TO BE- SW'!H140+NPV(0.05,'TCO TO BE- SW'!H141:H149)</f>
        <v>0</v>
      </c>
      <c r="F13" s="521">
        <f>'TCO TO BE- SW'!I130+NPV(0.05,'TCO TO BE- SW'!I131:I139)+'TCO TO BE- SW'!I140+NPV(0.05,'TCO TO BE- SW'!I141:I149)</f>
        <v>0</v>
      </c>
      <c r="G13" s="522">
        <f>'TCO TO BE- SW'!J130+NPV(0.05,'TCO TO BE- SW'!J131:J139)+'TCO TO BE- SW'!J140+NPV(0.05,'TCO TO BE- SW'!J141:J149)</f>
        <v>0</v>
      </c>
      <c r="H13" s="521">
        <f>'TCO TO BE- SW'!K130+NPV(0.05,'TCO TO BE- SW'!K131:K139)+'TCO TO BE- SW'!K140+NPV(0.05,'TCO TO BE- SW'!K141:K149)</f>
        <v>21934.06745098039</v>
      </c>
      <c r="I13" s="462">
        <f>SUM(D13:H13)</f>
        <v>175152</v>
      </c>
      <c r="M13" s="289"/>
      <c r="N13" s="287" t="s">
        <v>276</v>
      </c>
      <c r="O13" s="288"/>
      <c r="P13" s="521">
        <f>'TCO TO BE- SW'!G129</f>
        <v>153217.93254901961</v>
      </c>
      <c r="Q13" s="521">
        <f>'TCO TO BE- SW'!H129</f>
        <v>0</v>
      </c>
      <c r="R13" s="521">
        <f>'TCO TO BE- SW'!I129</f>
        <v>0</v>
      </c>
      <c r="S13" s="522">
        <f>'TCO TO BE- SW'!J129</f>
        <v>0</v>
      </c>
      <c r="T13" s="521">
        <f>'TCO TO BE- SW'!K129</f>
        <v>21934.06745098039</v>
      </c>
      <c r="U13" s="462">
        <f>SUM(P13:T13)</f>
        <v>175152</v>
      </c>
      <c r="V13" s="688">
        <f>U13/SUM(U6:U8,U10:U12)</f>
        <v>5.2004750593824228E-2</v>
      </c>
    </row>
    <row r="14" spans="1:22" x14ac:dyDescent="0.3">
      <c r="A14" s="289"/>
      <c r="B14" s="287" t="s">
        <v>303</v>
      </c>
      <c r="C14" s="288"/>
      <c r="D14" s="521">
        <f>'TCO TO BE- SW'!G151+NPV(0.05,'TCO TO BE- SW'!G152:G160)+'TCO TO BE- SW'!G161+NPV(0.05,'TCO TO BE- SW'!G162:G170)</f>
        <v>0</v>
      </c>
      <c r="E14" s="521">
        <f>'TCO TO BE- SW'!H151+NPV(0.05,'TCO TO BE- SW'!H152:H160)+'TCO TO BE- SW'!H161+NPV(0.05,'TCO TO BE- SW'!H162:H170)</f>
        <v>0</v>
      </c>
      <c r="F14" s="521">
        <f>'TCO TO BE- SW'!I151+NPV(0.05,'TCO TO BE- SW'!I152:I160)+'TCO TO BE- SW'!I161+NPV(0.05,'TCO TO BE- SW'!I162:I170)</f>
        <v>0</v>
      </c>
      <c r="G14" s="522">
        <f>'TCO TO BE- SW'!J151+NPV(0.05,'TCO TO BE- SW'!J152:J160)+'TCO TO BE- SW'!J161+NPV(0.05,'TCO TO BE- SW'!J162:J170)</f>
        <v>0</v>
      </c>
      <c r="H14" s="521">
        <f>'TCO TO BE- SW'!K151+NPV(0.05,'TCO TO BE- SW'!K152:K160)+'TCO TO BE- SW'!K161+NPV(0.05,'TCO TO BE- SW'!K162:K170)</f>
        <v>0</v>
      </c>
      <c r="I14" s="462">
        <f>SUM(D14:H14)</f>
        <v>0</v>
      </c>
      <c r="M14" s="289"/>
      <c r="N14" s="287" t="s">
        <v>303</v>
      </c>
      <c r="O14" s="288"/>
      <c r="P14" s="521">
        <f>'TCO TO BE- SW'!G150</f>
        <v>0</v>
      </c>
      <c r="Q14" s="521">
        <f>'TCO TO BE- SW'!H150</f>
        <v>0</v>
      </c>
      <c r="R14" s="521">
        <f>'TCO TO BE- SW'!I150</f>
        <v>0</v>
      </c>
      <c r="S14" s="522">
        <f>'TCO TO BE- SW'!J150</f>
        <v>0</v>
      </c>
      <c r="T14" s="521">
        <f>'TCO TO BE- SW'!K150</f>
        <v>0</v>
      </c>
      <c r="U14" s="462">
        <f>SUM(P14:T14)</f>
        <v>0</v>
      </c>
    </row>
    <row r="15" spans="1:22" x14ac:dyDescent="0.3">
      <c r="A15" s="281" t="s">
        <v>203</v>
      </c>
      <c r="B15" s="282"/>
      <c r="C15" s="283"/>
      <c r="D15" s="457">
        <f>D16+D19</f>
        <v>0</v>
      </c>
      <c r="E15" s="457">
        <f>E16+E19</f>
        <v>0</v>
      </c>
      <c r="F15" s="457">
        <f>F16+F19</f>
        <v>0</v>
      </c>
      <c r="G15" s="458">
        <f>G16+G19</f>
        <v>0</v>
      </c>
      <c r="H15" s="520" t="s">
        <v>209</v>
      </c>
      <c r="I15" s="459">
        <f t="shared" si="0"/>
        <v>0</v>
      </c>
      <c r="M15" s="281" t="s">
        <v>203</v>
      </c>
      <c r="N15" s="282"/>
      <c r="O15" s="283"/>
      <c r="P15" s="284">
        <f>P16+P19</f>
        <v>0</v>
      </c>
      <c r="Q15" s="284">
        <f>Q16+Q19</f>
        <v>0</v>
      </c>
      <c r="R15" s="284">
        <f>R16+R19</f>
        <v>0</v>
      </c>
      <c r="S15" s="285">
        <f>S16+S19</f>
        <v>0</v>
      </c>
      <c r="T15" s="520" t="s">
        <v>209</v>
      </c>
      <c r="U15" s="438">
        <f t="shared" si="1"/>
        <v>0</v>
      </c>
    </row>
    <row r="16" spans="1:22" x14ac:dyDescent="0.3">
      <c r="A16" s="286"/>
      <c r="B16" s="287" t="s">
        <v>17</v>
      </c>
      <c r="C16" s="288"/>
      <c r="D16" s="460">
        <f>D17+D18</f>
        <v>0</v>
      </c>
      <c r="E16" s="460">
        <f>E17+E18</f>
        <v>0</v>
      </c>
      <c r="F16" s="460">
        <f>F17+F18</f>
        <v>0</v>
      </c>
      <c r="G16" s="461">
        <f>G17+G18</f>
        <v>0</v>
      </c>
      <c r="H16" s="518" t="s">
        <v>209</v>
      </c>
      <c r="I16" s="462">
        <f t="shared" si="0"/>
        <v>0</v>
      </c>
      <c r="M16" s="286"/>
      <c r="N16" s="287" t="s">
        <v>17</v>
      </c>
      <c r="O16" s="288"/>
      <c r="P16" s="460">
        <f>P17+P18</f>
        <v>0</v>
      </c>
      <c r="Q16" s="460">
        <f>Q17+Q18</f>
        <v>0</v>
      </c>
      <c r="R16" s="460">
        <f>R17+R18</f>
        <v>0</v>
      </c>
      <c r="S16" s="461">
        <f>S17+S18</f>
        <v>0</v>
      </c>
      <c r="T16" s="518" t="s">
        <v>209</v>
      </c>
      <c r="U16" s="462">
        <f t="shared" si="1"/>
        <v>0</v>
      </c>
    </row>
    <row r="17" spans="1:22" x14ac:dyDescent="0.3">
      <c r="A17" s="289"/>
      <c r="B17" s="290"/>
      <c r="C17" s="291" t="s">
        <v>47</v>
      </c>
      <c r="D17" s="463">
        <f>'Parametre - Agendové IS'!I127+NPV(Faktory!$D$3,'Parametre - Agendové IS'!I128:I136)</f>
        <v>0</v>
      </c>
      <c r="E17" s="463">
        <f>'Parametre - Agendové IS'!L127+NPV(Faktory!$D$3,'Parametre - Agendové IS'!L128:L136)</f>
        <v>0</v>
      </c>
      <c r="F17" s="463">
        <f>'Parametre - Agendové IS'!O127+NPV(Faktory!$D$3,'Parametre - Agendové IS'!O128:O136)</f>
        <v>0</v>
      </c>
      <c r="G17" s="464">
        <f>'Parametre - Agendové IS'!R127+NPV(Faktory!$D$3,'Parametre - Agendové IS'!R128:R136)</f>
        <v>0</v>
      </c>
      <c r="H17" s="466" t="s">
        <v>209</v>
      </c>
      <c r="I17" s="465">
        <f t="shared" si="0"/>
        <v>0</v>
      </c>
      <c r="M17" s="289"/>
      <c r="N17" s="290"/>
      <c r="O17" s="291" t="s">
        <v>47</v>
      </c>
      <c r="P17" s="463">
        <f>SUM('Parametre - Agendové IS'!I127:I136)</f>
        <v>0</v>
      </c>
      <c r="Q17" s="463">
        <f>SUM('Parametre - Agendové IS'!L127:L136)</f>
        <v>0</v>
      </c>
      <c r="R17" s="463">
        <f>SUM('Parametre - Agendové IS'!O127:O136)</f>
        <v>0</v>
      </c>
      <c r="S17" s="464">
        <f>SUM('Parametre - Agendové IS'!R127:R136)</f>
        <v>0</v>
      </c>
      <c r="T17" s="466" t="s">
        <v>209</v>
      </c>
      <c r="U17" s="465">
        <f t="shared" si="1"/>
        <v>0</v>
      </c>
    </row>
    <row r="18" spans="1:22" x14ac:dyDescent="0.3">
      <c r="A18" s="289"/>
      <c r="B18" s="290"/>
      <c r="C18" s="291" t="s">
        <v>48</v>
      </c>
      <c r="D18" s="463"/>
      <c r="E18" s="463"/>
      <c r="F18" s="463"/>
      <c r="G18" s="464"/>
      <c r="H18" s="466" t="s">
        <v>209</v>
      </c>
      <c r="I18" s="465">
        <f>'Prínosy - Agendové IS'!G15</f>
        <v>0</v>
      </c>
      <c r="J18" s="439"/>
      <c r="M18" s="289"/>
      <c r="N18" s="290"/>
      <c r="O18" s="291" t="s">
        <v>48</v>
      </c>
      <c r="P18" s="463"/>
      <c r="Q18" s="463"/>
      <c r="R18" s="463"/>
      <c r="S18" s="464"/>
      <c r="T18" s="466" t="s">
        <v>209</v>
      </c>
      <c r="U18" s="465">
        <f>'Prínosy - Agendové IS'!G14</f>
        <v>0</v>
      </c>
      <c r="V18" s="439"/>
    </row>
    <row r="19" spans="1:22" x14ac:dyDescent="0.3">
      <c r="A19" s="286"/>
      <c r="B19" s="287" t="s">
        <v>18</v>
      </c>
      <c r="C19" s="288"/>
      <c r="D19" s="460">
        <f>D20+D21+D23</f>
        <v>0</v>
      </c>
      <c r="E19" s="460">
        <f>E20+E21+E23</f>
        <v>0</v>
      </c>
      <c r="F19" s="460">
        <f>F20+F21+F23</f>
        <v>0</v>
      </c>
      <c r="G19" s="461">
        <f>G20+G21+G23</f>
        <v>0</v>
      </c>
      <c r="H19" s="518" t="s">
        <v>209</v>
      </c>
      <c r="I19" s="462">
        <f>SUM(D19:G19)</f>
        <v>0</v>
      </c>
      <c r="M19" s="286"/>
      <c r="N19" s="287" t="s">
        <v>18</v>
      </c>
      <c r="O19" s="288"/>
      <c r="P19" s="460">
        <f>P20+P21+P23</f>
        <v>0</v>
      </c>
      <c r="Q19" s="460">
        <f>Q20+Q21+Q23</f>
        <v>0</v>
      </c>
      <c r="R19" s="460">
        <f>R20+R21+R23</f>
        <v>0</v>
      </c>
      <c r="S19" s="461">
        <f>S20+S21+S23</f>
        <v>0</v>
      </c>
      <c r="T19" s="518" t="s">
        <v>209</v>
      </c>
      <c r="U19" s="462">
        <f t="shared" si="1"/>
        <v>0</v>
      </c>
    </row>
    <row r="20" spans="1:22" x14ac:dyDescent="0.3">
      <c r="A20" s="289"/>
      <c r="B20" s="290"/>
      <c r="C20" s="291" t="s">
        <v>205</v>
      </c>
      <c r="D20" s="463">
        <f>'Parametre - Agendové IS'!I107+NPV(Faktory!$D$5,'Parametre - Agendové IS'!I108:I116)</f>
        <v>0</v>
      </c>
      <c r="E20" s="463">
        <f>'Parametre - Agendové IS'!L107+NPV(Faktory!$D$5,'Parametre - Agendové IS'!L108:L116)</f>
        <v>0</v>
      </c>
      <c r="F20" s="463">
        <f>'Parametre - Agendové IS'!O107+NPV(Faktory!$D$5,'Parametre - Agendové IS'!O108:O116)</f>
        <v>0</v>
      </c>
      <c r="G20" s="464">
        <f>'Parametre - Agendové IS'!R107+NPV(Faktory!$D$5,'Parametre - Agendové IS'!R108:R116)</f>
        <v>0</v>
      </c>
      <c r="H20" s="466" t="s">
        <v>209</v>
      </c>
      <c r="I20" s="465">
        <f>SUM(D20:G20)</f>
        <v>0</v>
      </c>
      <c r="M20" s="289"/>
      <c r="N20" s="290"/>
      <c r="O20" s="291" t="s">
        <v>205</v>
      </c>
      <c r="P20" s="463">
        <f>SUM('Parametre - Agendové IS'!I107:I116)</f>
        <v>0</v>
      </c>
      <c r="Q20" s="463">
        <f>SUM('Parametre - Agendové IS'!L107:L116)</f>
        <v>0</v>
      </c>
      <c r="R20" s="463">
        <f>SUM('Parametre - Agendové IS'!O107:O116)</f>
        <v>0</v>
      </c>
      <c r="S20" s="464">
        <f>SUM('Parametre - Agendové IS'!R107:R116)</f>
        <v>0</v>
      </c>
      <c r="T20" s="466" t="s">
        <v>209</v>
      </c>
      <c r="U20" s="465">
        <f t="shared" si="1"/>
        <v>0</v>
      </c>
    </row>
    <row r="21" spans="1:22" x14ac:dyDescent="0.3">
      <c r="A21" s="289"/>
      <c r="B21" s="290"/>
      <c r="C21" s="291" t="s">
        <v>204</v>
      </c>
      <c r="D21" s="463">
        <f>-('Parametre - Agendové IS'!I87+NPV(Faktory!$D$5,'Parametre - Agendové IS'!I88:I96))</f>
        <v>0</v>
      </c>
      <c r="E21" s="463">
        <f>-('Parametre - Agendové IS'!L87+NPV(Faktory!$D$5,'Parametre - Agendové IS'!L88:L96))</f>
        <v>0</v>
      </c>
      <c r="F21" s="463">
        <f>-('Parametre - Agendové IS'!O87+NPV(Faktory!$D$5,'Parametre - Agendové IS'!O88:O96))</f>
        <v>0</v>
      </c>
      <c r="G21" s="464">
        <f>-('Parametre - Agendové IS'!R87+NPV(Faktory!$D$5,'Parametre - Agendové IS'!R88:R96))</f>
        <v>0</v>
      </c>
      <c r="H21" s="466" t="s">
        <v>209</v>
      </c>
      <c r="I21" s="465">
        <f>SUM(D21:G21)</f>
        <v>0</v>
      </c>
      <c r="M21" s="289"/>
      <c r="N21" s="290"/>
      <c r="O21" s="291" t="s">
        <v>204</v>
      </c>
      <c r="P21" s="463">
        <f>-(SUM('Parametre - Agendové IS'!I87:I96))</f>
        <v>0</v>
      </c>
      <c r="Q21" s="463">
        <f>-(SUM('Parametre - Agendové IS'!L87:L96))</f>
        <v>0</v>
      </c>
      <c r="R21" s="463">
        <f>-(SUM('Parametre - Agendové IS'!O87:O96))</f>
        <v>0</v>
      </c>
      <c r="S21" s="464">
        <f>-(SUM('Parametre - Agendové IS'!R87:R96))</f>
        <v>0</v>
      </c>
      <c r="T21" s="466" t="s">
        <v>209</v>
      </c>
      <c r="U21" s="465">
        <f t="shared" si="1"/>
        <v>0</v>
      </c>
    </row>
    <row r="22" spans="1:22" x14ac:dyDescent="0.3">
      <c r="A22" s="289"/>
      <c r="B22" s="290"/>
      <c r="C22" s="291" t="s">
        <v>206</v>
      </c>
      <c r="D22" s="466" t="s">
        <v>209</v>
      </c>
      <c r="E22" s="466" t="s">
        <v>209</v>
      </c>
      <c r="F22" s="466" t="s">
        <v>209</v>
      </c>
      <c r="G22" s="467" t="s">
        <v>209</v>
      </c>
      <c r="H22" s="466" t="s">
        <v>209</v>
      </c>
      <c r="I22" s="468" t="s">
        <v>209</v>
      </c>
      <c r="M22" s="289"/>
      <c r="N22" s="290"/>
      <c r="O22" s="291" t="s">
        <v>206</v>
      </c>
      <c r="P22" s="463">
        <f>SUM('Parametre - Agendové IS'!I97:I106)</f>
        <v>0</v>
      </c>
      <c r="Q22" s="463">
        <f>SUM('Parametre - Agendové IS'!L97:L106)</f>
        <v>0</v>
      </c>
      <c r="R22" s="463">
        <f>SUM('Parametre - Agendové IS'!O97:O106)</f>
        <v>0</v>
      </c>
      <c r="S22" s="464">
        <f>SUM('Parametre - Agendové IS'!R97:R106)</f>
        <v>0</v>
      </c>
      <c r="T22" s="466" t="s">
        <v>209</v>
      </c>
      <c r="U22" s="465">
        <f t="shared" si="1"/>
        <v>0</v>
      </c>
    </row>
    <row r="23" spans="1:22" ht="15" thickBot="1" x14ac:dyDescent="0.35">
      <c r="A23" s="292"/>
      <c r="B23" s="293"/>
      <c r="C23" s="294" t="s">
        <v>39</v>
      </c>
      <c r="D23" s="469">
        <f>'Parametre - Agendové IS'!I147+NPV(Faktory!$D$5,'Parametre - Agendové IS'!I148:I156)</f>
        <v>0</v>
      </c>
      <c r="E23" s="469">
        <f>'Parametre - Agendové IS'!L147+NPV(Faktory!$D$5,'Parametre - Agendové IS'!L148:L156)</f>
        <v>0</v>
      </c>
      <c r="F23" s="469">
        <f>'Parametre - Agendové IS'!O147+NPV(Faktory!$D$5,'Parametre - Agendové IS'!O148:O156)</f>
        <v>0</v>
      </c>
      <c r="G23" s="470">
        <f>'Parametre - Agendové IS'!R147+NPV(Faktory!$D$5,'Parametre - Agendové IS'!R148:R156)</f>
        <v>0</v>
      </c>
      <c r="H23" s="519" t="s">
        <v>209</v>
      </c>
      <c r="I23" s="471">
        <f>SUM(D23:G23)</f>
        <v>0</v>
      </c>
      <c r="M23" s="289"/>
      <c r="N23" s="290"/>
      <c r="O23" s="291" t="s">
        <v>39</v>
      </c>
      <c r="P23" s="463">
        <f>SUM('Parametre - Agendové IS'!I147:I156)</f>
        <v>0</v>
      </c>
      <c r="Q23" s="463">
        <f>SUM('Parametre - Agendové IS'!L147:L156)</f>
        <v>0</v>
      </c>
      <c r="R23" s="463">
        <f>SUM('Parametre - Agendové IS'!O147:O156)</f>
        <v>0</v>
      </c>
      <c r="S23" s="464">
        <f>SUM('Parametre - Agendové IS'!R147:R156)</f>
        <v>0</v>
      </c>
      <c r="T23" s="519" t="s">
        <v>209</v>
      </c>
      <c r="U23" s="472">
        <f t="shared" si="1"/>
        <v>0</v>
      </c>
    </row>
    <row r="24" spans="1:22" x14ac:dyDescent="0.3">
      <c r="A24" s="440"/>
      <c r="B24" s="287" t="s">
        <v>210</v>
      </c>
      <c r="C24" s="288"/>
      <c r="D24" s="516"/>
      <c r="E24" s="517"/>
      <c r="F24" s="517"/>
      <c r="G24" s="517"/>
      <c r="H24" s="523"/>
      <c r="I24" s="524"/>
      <c r="M24" s="440"/>
      <c r="N24" s="287" t="s">
        <v>210</v>
      </c>
      <c r="O24" s="288"/>
      <c r="P24" s="516"/>
      <c r="Q24" s="517"/>
      <c r="R24" s="517"/>
      <c r="S24" s="517"/>
      <c r="T24" s="523"/>
      <c r="U24" s="524"/>
    </row>
    <row r="25" spans="1:22" x14ac:dyDescent="0.3">
      <c r="A25" s="441"/>
      <c r="B25" s="442"/>
      <c r="C25" s="443" t="s">
        <v>391</v>
      </c>
      <c r="D25" s="444"/>
      <c r="E25" s="444"/>
      <c r="F25" s="444"/>
      <c r="G25" s="444"/>
      <c r="H25" s="444"/>
      <c r="I25" s="444"/>
      <c r="M25" s="441"/>
      <c r="N25" s="442"/>
      <c r="O25" s="443" t="s">
        <v>391</v>
      </c>
      <c r="P25" s="444"/>
      <c r="Q25" s="444"/>
      <c r="R25" s="444"/>
      <c r="S25" s="444"/>
      <c r="T25" s="444"/>
      <c r="U25" s="444"/>
    </row>
    <row r="26" spans="1:22" x14ac:dyDescent="0.3">
      <c r="A26" s="441"/>
      <c r="B26" s="442"/>
      <c r="C26" s="445" t="s">
        <v>211</v>
      </c>
      <c r="D26" s="444"/>
      <c r="E26" s="444"/>
      <c r="F26" s="444"/>
      <c r="G26" s="444"/>
      <c r="H26" s="444"/>
      <c r="I26" s="444"/>
      <c r="M26" s="441"/>
      <c r="N26" s="442"/>
      <c r="O26" s="445" t="s">
        <v>211</v>
      </c>
      <c r="P26" s="444"/>
      <c r="Q26" s="444"/>
      <c r="R26" s="444"/>
      <c r="S26" s="444"/>
      <c r="T26" s="444"/>
      <c r="U26" s="444"/>
    </row>
    <row r="27" spans="1:22" x14ac:dyDescent="0.3">
      <c r="A27" s="441"/>
      <c r="B27" s="442"/>
      <c r="C27" s="445" t="s">
        <v>211</v>
      </c>
      <c r="D27" s="444"/>
      <c r="E27" s="444"/>
      <c r="F27" s="444"/>
      <c r="G27" s="444"/>
      <c r="H27" s="444"/>
      <c r="I27" s="444"/>
      <c r="M27" s="441"/>
      <c r="N27" s="442"/>
      <c r="O27" s="445" t="s">
        <v>211</v>
      </c>
      <c r="P27" s="444"/>
      <c r="Q27" s="444"/>
      <c r="R27" s="444"/>
      <c r="S27" s="444"/>
      <c r="T27" s="444"/>
      <c r="U27" s="444"/>
    </row>
    <row r="28" spans="1:22" x14ac:dyDescent="0.3">
      <c r="C28" s="446"/>
      <c r="O28" s="446"/>
    </row>
    <row r="29" spans="1:22" x14ac:dyDescent="0.3">
      <c r="C29" s="446"/>
      <c r="O29" s="446"/>
    </row>
    <row r="30" spans="1:22" x14ac:dyDescent="0.3">
      <c r="C30" s="446"/>
    </row>
    <row r="32" spans="1:22" x14ac:dyDescent="0.3">
      <c r="L32" s="447"/>
      <c r="M32" s="447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80" zoomScaleNormal="80" workbookViewId="0">
      <pane ySplit="3" topLeftCell="A4" activePane="bottomLeft" state="frozen"/>
      <selection pane="bottomLeft" activeCell="J9" sqref="J9"/>
    </sheetView>
  </sheetViews>
  <sheetFormatPr defaultColWidth="8.886718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5.109375" customWidth="1"/>
    <col min="7" max="7" width="13.6640625" customWidth="1"/>
    <col min="8" max="8" width="9.88671875" customWidth="1"/>
    <col min="9" max="9" width="22.6640625" customWidth="1"/>
    <col min="10" max="10" width="22.109375" customWidth="1"/>
    <col min="11" max="11" width="20.44140625" customWidth="1"/>
    <col min="12" max="12" width="23.109375" customWidth="1"/>
    <col min="13" max="13" width="12" bestFit="1" customWidth="1"/>
  </cols>
  <sheetData>
    <row r="1" spans="1:13" ht="15" thickBot="1" x14ac:dyDescent="0.35">
      <c r="A1" s="9"/>
      <c r="B1" s="1040" t="s">
        <v>36</v>
      </c>
      <c r="C1" s="1041"/>
      <c r="D1" s="1041"/>
      <c r="E1" s="1041"/>
      <c r="F1" s="1041"/>
      <c r="G1" s="1042"/>
      <c r="H1" s="1043" t="s">
        <v>16</v>
      </c>
      <c r="I1" s="1044"/>
      <c r="J1" s="1044"/>
      <c r="K1" s="1044"/>
      <c r="L1" s="1045"/>
    </row>
    <row r="2" spans="1:13" ht="28.8" x14ac:dyDescent="0.3">
      <c r="A2" s="10"/>
      <c r="B2" s="1043" t="s">
        <v>314</v>
      </c>
      <c r="C2" s="1044"/>
      <c r="D2" s="1045"/>
      <c r="E2" s="1043" t="s">
        <v>315</v>
      </c>
      <c r="F2" s="1044"/>
      <c r="G2" s="1045"/>
      <c r="H2" s="54" t="s">
        <v>19</v>
      </c>
      <c r="I2" s="49" t="s">
        <v>20</v>
      </c>
      <c r="J2" s="12" t="s">
        <v>21</v>
      </c>
      <c r="K2" s="1046" t="s">
        <v>22</v>
      </c>
      <c r="L2" s="1047"/>
    </row>
    <row r="3" spans="1:13" ht="15" thickBot="1" x14ac:dyDescent="0.35">
      <c r="A3" s="11" t="s">
        <v>23</v>
      </c>
      <c r="B3" s="14" t="s">
        <v>215</v>
      </c>
      <c r="C3" s="15" t="s">
        <v>159</v>
      </c>
      <c r="D3" s="16" t="s">
        <v>24</v>
      </c>
      <c r="E3" s="14" t="s">
        <v>215</v>
      </c>
      <c r="F3" s="15" t="s">
        <v>159</v>
      </c>
      <c r="G3" s="16" t="s">
        <v>24</v>
      </c>
      <c r="H3" s="55"/>
      <c r="I3" s="50"/>
      <c r="J3" s="13"/>
      <c r="K3" s="1038"/>
      <c r="L3" s="1039"/>
    </row>
    <row r="4" spans="1:13" x14ac:dyDescent="0.3">
      <c r="A4" s="48" t="s">
        <v>25</v>
      </c>
      <c r="B4" s="27">
        <f>'Prínosy - Agendové IS'!T4-'Výdavky - Agendové IS'!T4</f>
        <v>-31564.799999999999</v>
      </c>
      <c r="C4" s="26">
        <f>'Prínosy - Agendové IS'!U4-'Výdavky - Agendové IS'!U4</f>
        <v>-1901552</v>
      </c>
      <c r="D4" s="34">
        <f>C4-B4</f>
        <v>-1869987.2</v>
      </c>
      <c r="E4" s="27">
        <f>'Prínosy - Agendové IS'!W4-('Výdavky - Agendové IS'!T4/1.2)</f>
        <v>1361576.88</v>
      </c>
      <c r="F4" s="27">
        <f>'Prínosy - Agendové IS'!X4-('Výdavky - Agendové IS'!U4/1.2)</f>
        <v>-196745.78666666686</v>
      </c>
      <c r="G4" s="34">
        <f t="shared" ref="G4:G13" si="0">F4-E4</f>
        <v>-1558322.6666666667</v>
      </c>
      <c r="H4" s="56">
        <v>0</v>
      </c>
      <c r="I4" s="51">
        <f>D4*(1/(1+Faktory!$D$3)^H4)</f>
        <v>-1869987.2</v>
      </c>
      <c r="J4" s="58">
        <f>G4*(1/(1+Faktory!$D$5)^H4)</f>
        <v>-1558322.6666666667</v>
      </c>
      <c r="K4" s="57">
        <f>J4</f>
        <v>-1558322.6666666667</v>
      </c>
      <c r="L4" s="31" t="str">
        <f>IF(K4&gt;0,"Rok návratu investície","&lt;")</f>
        <v>&lt;</v>
      </c>
      <c r="M4" s="153"/>
    </row>
    <row r="5" spans="1:13" x14ac:dyDescent="0.3">
      <c r="A5" s="33" t="s">
        <v>26</v>
      </c>
      <c r="B5" s="27">
        <f>'Prínosy - Agendové IS'!T5-'Výdavky - Agendové IS'!T5</f>
        <v>-31564.799999999999</v>
      </c>
      <c r="C5" s="26">
        <f>'Prínosy - Agendové IS'!U5-'Výdavky - Agendové IS'!U5</f>
        <v>-182400</v>
      </c>
      <c r="D5" s="29">
        <f t="shared" ref="D5:D13" si="1">C5-B5</f>
        <v>-150835.20000000001</v>
      </c>
      <c r="E5" s="27">
        <f>'Prínosy - Agendové IS'!W5-('Výdavky - Agendové IS'!T5/1.2)</f>
        <v>1361576.88</v>
      </c>
      <c r="F5" s="27">
        <f>'Prínosy - Agendové IS'!X5-('Výdavky - Agendové IS'!U5/1.2)</f>
        <v>1588658.0321845517</v>
      </c>
      <c r="G5" s="29">
        <f t="shared" si="0"/>
        <v>227081.15218455181</v>
      </c>
      <c r="H5" s="56">
        <v>1</v>
      </c>
      <c r="I5" s="52">
        <f>D5*(1/(1+Faktory!$D$3)^H5)</f>
        <v>-145033.84615384616</v>
      </c>
      <c r="J5" s="59">
        <f>G5*(1/(1+Faktory!$D$5)^H5)</f>
        <v>216267.76398528743</v>
      </c>
      <c r="K5" s="57">
        <f>J5+K4</f>
        <v>-1342054.9026813793</v>
      </c>
      <c r="L5" s="31" t="str">
        <f>IF(L4="&lt;",IF(K5&gt;0,"Rok návratu investície","&lt;"),"&gt;")</f>
        <v>&lt;</v>
      </c>
    </row>
    <row r="6" spans="1:13" x14ac:dyDescent="0.3">
      <c r="A6" s="33" t="s">
        <v>27</v>
      </c>
      <c r="B6" s="27">
        <f>'Prínosy - Agendové IS'!T6-'Výdavky - Agendové IS'!T6</f>
        <v>-31564.799999999999</v>
      </c>
      <c r="C6" s="26">
        <f>'Prínosy - Agendové IS'!U6-'Výdavky - Agendové IS'!U6</f>
        <v>-182400</v>
      </c>
      <c r="D6" s="29">
        <f t="shared" si="1"/>
        <v>-150835.20000000001</v>
      </c>
      <c r="E6" s="27">
        <f>'Prínosy - Agendové IS'!W6-('Výdavky - Agendové IS'!T6/1.2)</f>
        <v>1361576.88</v>
      </c>
      <c r="F6" s="27">
        <f>'Prínosy - Agendové IS'!X6-('Výdavky - Agendové IS'!U6/1.2)</f>
        <v>1588658.0321845517</v>
      </c>
      <c r="G6" s="29">
        <f t="shared" si="0"/>
        <v>227081.15218455181</v>
      </c>
      <c r="H6" s="56">
        <v>2</v>
      </c>
      <c r="I6" s="52">
        <f>D6*(1/(1+Faktory!$D$3)^H6)</f>
        <v>-139455.62130177513</v>
      </c>
      <c r="J6" s="59">
        <f>G6*(1/(1+Faktory!$D$5)^H6)</f>
        <v>205969.29903360707</v>
      </c>
      <c r="K6" s="57">
        <f t="shared" ref="K6:K13" si="2">J6+K5</f>
        <v>-1136085.6036477722</v>
      </c>
      <c r="L6" s="31" t="str">
        <f t="shared" ref="L6:L13" si="3">IF(L5="&lt;",IF(K6&gt;0,"Rok návratu investície","&lt;"),"&gt;")</f>
        <v>&lt;</v>
      </c>
    </row>
    <row r="7" spans="1:13" x14ac:dyDescent="0.3">
      <c r="A7" s="33" t="s">
        <v>28</v>
      </c>
      <c r="B7" s="27">
        <f>'Prínosy - Agendové IS'!T7-'Výdavky - Agendové IS'!T7</f>
        <v>-31564.799999999999</v>
      </c>
      <c r="C7" s="26">
        <f>'Prínosy - Agendové IS'!U7-'Výdavky - Agendové IS'!U7</f>
        <v>-182400</v>
      </c>
      <c r="D7" s="29">
        <f t="shared" si="1"/>
        <v>-150835.20000000001</v>
      </c>
      <c r="E7" s="27">
        <f>'Prínosy - Agendové IS'!W7-('Výdavky - Agendové IS'!T7/1.2)</f>
        <v>1361576.88</v>
      </c>
      <c r="F7" s="27">
        <f>'Prínosy - Agendové IS'!X7-('Výdavky - Agendové IS'!U7/1.2)</f>
        <v>1588658.0321845517</v>
      </c>
      <c r="G7" s="29">
        <f t="shared" si="0"/>
        <v>227081.15218455181</v>
      </c>
      <c r="H7" s="56">
        <v>3</v>
      </c>
      <c r="I7" s="52">
        <f>D7*(1/(1+Faktory!$D$3)^H7)</f>
        <v>-134091.94355939919</v>
      </c>
      <c r="J7" s="59">
        <f>G7*(1/(1+Faktory!$D$5)^H7)</f>
        <v>196161.23717486387</v>
      </c>
      <c r="K7" s="57">
        <f t="shared" si="2"/>
        <v>-939924.3664729083</v>
      </c>
      <c r="L7" s="31" t="str">
        <f t="shared" si="3"/>
        <v>&lt;</v>
      </c>
    </row>
    <row r="8" spans="1:13" x14ac:dyDescent="0.3">
      <c r="A8" s="33" t="s">
        <v>29</v>
      </c>
      <c r="B8" s="27">
        <f>'Prínosy - Agendové IS'!T8-'Výdavky - Agendové IS'!T8</f>
        <v>-31564.799999999999</v>
      </c>
      <c r="C8" s="26">
        <f>'Prínosy - Agendové IS'!U8-'Výdavky - Agendové IS'!U8</f>
        <v>-182400</v>
      </c>
      <c r="D8" s="29">
        <f t="shared" si="1"/>
        <v>-150835.20000000001</v>
      </c>
      <c r="E8" s="27">
        <f>'Prínosy - Agendové IS'!W8-('Výdavky - Agendové IS'!T8/1.2)</f>
        <v>1361576.88</v>
      </c>
      <c r="F8" s="27">
        <f>'Prínosy - Agendové IS'!X8-('Výdavky - Agendové IS'!U8/1.2)</f>
        <v>1588658.0321845517</v>
      </c>
      <c r="G8" s="29">
        <f t="shared" si="0"/>
        <v>227081.15218455181</v>
      </c>
      <c r="H8" s="56">
        <v>4</v>
      </c>
      <c r="I8" s="52">
        <f>D8*(1/(1+Faktory!$D$3)^H8)</f>
        <v>-128934.5611148069</v>
      </c>
      <c r="J8" s="59">
        <f>G8*(1/(1+Faktory!$D$5)^H8)</f>
        <v>186820.22588082275</v>
      </c>
      <c r="K8" s="57">
        <f t="shared" si="2"/>
        <v>-753104.14059208555</v>
      </c>
      <c r="L8" s="31" t="str">
        <f t="shared" si="3"/>
        <v>&lt;</v>
      </c>
    </row>
    <row r="9" spans="1:13" x14ac:dyDescent="0.3">
      <c r="A9" s="33" t="s">
        <v>30</v>
      </c>
      <c r="B9" s="27">
        <f>'Prínosy - Agendové IS'!T9-'Výdavky - Agendové IS'!T9</f>
        <v>-31564.799999999999</v>
      </c>
      <c r="C9" s="26">
        <f>'Prínosy - Agendové IS'!U9-'Výdavky - Agendové IS'!U9</f>
        <v>-182400</v>
      </c>
      <c r="D9" s="29">
        <f t="shared" si="1"/>
        <v>-150835.20000000001</v>
      </c>
      <c r="E9" s="27">
        <f>'Prínosy - Agendové IS'!W9-('Výdavky - Agendové IS'!T9/1.2)</f>
        <v>1361576.88</v>
      </c>
      <c r="F9" s="27">
        <f>'Prínosy - Agendové IS'!X9-('Výdavky - Agendové IS'!U9/1.2)</f>
        <v>1588658.0321845517</v>
      </c>
      <c r="G9" s="29">
        <f t="shared" si="0"/>
        <v>227081.15218455181</v>
      </c>
      <c r="H9" s="56">
        <v>5</v>
      </c>
      <c r="I9" s="52">
        <f>D9*(1/(1+Faktory!$D$3)^H9)</f>
        <v>-123975.53953346815</v>
      </c>
      <c r="J9" s="59">
        <f>G9*(1/(1+Faktory!$D$5)^H9)</f>
        <v>177924.02464840261</v>
      </c>
      <c r="K9" s="57">
        <f t="shared" si="2"/>
        <v>-575180.11594368296</v>
      </c>
      <c r="L9" s="31" t="str">
        <f t="shared" si="3"/>
        <v>&lt;</v>
      </c>
    </row>
    <row r="10" spans="1:13" x14ac:dyDescent="0.3">
      <c r="A10" s="33" t="s">
        <v>31</v>
      </c>
      <c r="B10" s="27">
        <f>'Prínosy - Agendové IS'!T10-'Výdavky - Agendové IS'!T10</f>
        <v>-31564.799999999999</v>
      </c>
      <c r="C10" s="26">
        <f>'Prínosy - Agendové IS'!U10-'Výdavky - Agendové IS'!U10</f>
        <v>-182400</v>
      </c>
      <c r="D10" s="29">
        <f t="shared" si="1"/>
        <v>-150835.20000000001</v>
      </c>
      <c r="E10" s="27">
        <f>'Prínosy - Agendové IS'!W10-('Výdavky - Agendové IS'!T10/1.2)</f>
        <v>1361576.88</v>
      </c>
      <c r="F10" s="27">
        <f>'Prínosy - Agendové IS'!X10-('Výdavky - Agendové IS'!U10/1.2)</f>
        <v>1588658.0321845517</v>
      </c>
      <c r="G10" s="29">
        <f t="shared" si="0"/>
        <v>227081.15218455181</v>
      </c>
      <c r="H10" s="56">
        <v>6</v>
      </c>
      <c r="I10" s="52">
        <f>D10*(1/(1+Faktory!$D$3)^H10)</f>
        <v>-119207.24955141169</v>
      </c>
      <c r="J10" s="59">
        <f>G10*(1/(1+Faktory!$D$5)^H10)</f>
        <v>169451.45204609772</v>
      </c>
      <c r="K10" s="57">
        <f t="shared" si="2"/>
        <v>-405728.66389758524</v>
      </c>
      <c r="L10" s="31" t="str">
        <f t="shared" si="3"/>
        <v>&lt;</v>
      </c>
    </row>
    <row r="11" spans="1:13" x14ac:dyDescent="0.3">
      <c r="A11" s="33" t="s">
        <v>32</v>
      </c>
      <c r="B11" s="27">
        <f>'Prínosy - Agendové IS'!T11-'Výdavky - Agendové IS'!T11</f>
        <v>-31564.799999999999</v>
      </c>
      <c r="C11" s="26">
        <f>'Prínosy - Agendové IS'!U11-'Výdavky - Agendové IS'!U11</f>
        <v>-182400</v>
      </c>
      <c r="D11" s="29">
        <f t="shared" si="1"/>
        <v>-150835.20000000001</v>
      </c>
      <c r="E11" s="27">
        <f>'Prínosy - Agendové IS'!W11-('Výdavky - Agendové IS'!T11/1.2)</f>
        <v>1361576.88</v>
      </c>
      <c r="F11" s="27">
        <f>'Prínosy - Agendové IS'!X11-('Výdavky - Agendové IS'!U11/1.2)</f>
        <v>1588658.0321845517</v>
      </c>
      <c r="G11" s="29">
        <f t="shared" si="0"/>
        <v>227081.15218455181</v>
      </c>
      <c r="H11" s="56">
        <v>7</v>
      </c>
      <c r="I11" s="52">
        <f>D11*(1/(1+Faktory!$D$3)^H11)</f>
        <v>-114622.35533789587</v>
      </c>
      <c r="J11" s="59">
        <f>G11*(1/(1+Faktory!$D$5)^H11)</f>
        <v>161382.33528199783</v>
      </c>
      <c r="K11" s="57">
        <f t="shared" si="2"/>
        <v>-244346.32861558741</v>
      </c>
      <c r="L11" s="31" t="str">
        <f t="shared" si="3"/>
        <v>&lt;</v>
      </c>
    </row>
    <row r="12" spans="1:13" x14ac:dyDescent="0.3">
      <c r="A12" s="33" t="s">
        <v>33</v>
      </c>
      <c r="B12" s="27">
        <f>'Prínosy - Agendové IS'!T12-'Výdavky - Agendové IS'!T12</f>
        <v>-31564.799999999999</v>
      </c>
      <c r="C12" s="26">
        <f>'Prínosy - Agendové IS'!U12-'Výdavky - Agendové IS'!U12</f>
        <v>-182400</v>
      </c>
      <c r="D12" s="29">
        <f t="shared" si="1"/>
        <v>-150835.20000000001</v>
      </c>
      <c r="E12" s="27">
        <f>'Prínosy - Agendové IS'!W12-('Výdavky - Agendové IS'!T12/1.2)</f>
        <v>1361576.88</v>
      </c>
      <c r="F12" s="27">
        <f>'Prínosy - Agendové IS'!X12-('Výdavky - Agendové IS'!U12/1.2)</f>
        <v>1588658.0321845517</v>
      </c>
      <c r="G12" s="29">
        <f t="shared" si="0"/>
        <v>227081.15218455181</v>
      </c>
      <c r="H12" s="56">
        <v>8</v>
      </c>
      <c r="I12" s="52">
        <f>D12*(1/(1+Faktory!$D$3)^H12)</f>
        <v>-110213.80320951523</v>
      </c>
      <c r="J12" s="59">
        <f>G12*(1/(1+Faktory!$D$5)^H12)</f>
        <v>153697.4621733313</v>
      </c>
      <c r="K12" s="57">
        <f t="shared" si="2"/>
        <v>-90648.866442256112</v>
      </c>
      <c r="L12" s="31" t="str">
        <f t="shared" si="3"/>
        <v>&lt;</v>
      </c>
    </row>
    <row r="13" spans="1:13" ht="15" thickBot="1" x14ac:dyDescent="0.35">
      <c r="A13" s="33" t="s">
        <v>34</v>
      </c>
      <c r="B13" s="47">
        <f>'Prínosy - Agendové IS'!T13-'Výdavky - Agendové IS'!T13</f>
        <v>-31564.799999999999</v>
      </c>
      <c r="C13" s="43">
        <f>'Prínosy - Agendové IS'!U13-'Výdavky - Agendové IS'!U13</f>
        <v>-182400</v>
      </c>
      <c r="D13" s="35">
        <f t="shared" si="1"/>
        <v>-150835.20000000001</v>
      </c>
      <c r="E13" s="27">
        <f>'Prínosy - Agendové IS'!W13-('Výdavky - Agendové IS'!T13/1.2)</f>
        <v>1361576.88</v>
      </c>
      <c r="F13" s="27">
        <f>'Prínosy - Agendové IS'!X13-('Výdavky - Agendové IS'!U13/1.2)</f>
        <v>1588658.0321845517</v>
      </c>
      <c r="G13" s="35">
        <f t="shared" si="0"/>
        <v>227081.15218455181</v>
      </c>
      <c r="H13" s="56">
        <v>9</v>
      </c>
      <c r="I13" s="53">
        <f>D13*(1/(1+Faktory!$D$3)^H13)</f>
        <v>-105974.81077838001</v>
      </c>
      <c r="J13" s="60">
        <f>G13*(1/(1+Faktory!$D$5)^H13)</f>
        <v>146378.53540317263</v>
      </c>
      <c r="K13" s="57">
        <f t="shared" si="2"/>
        <v>55729.668960916519</v>
      </c>
      <c r="L13" s="31" t="str">
        <f t="shared" si="3"/>
        <v>Rok návratu investície</v>
      </c>
    </row>
    <row r="14" spans="1:13" ht="15" thickBot="1" x14ac:dyDescent="0.35">
      <c r="A14" s="62" t="s">
        <v>35</v>
      </c>
      <c r="B14" s="44">
        <f t="shared" ref="B14:G14" si="4">SUM(B4:B13)</f>
        <v>-315647.99999999994</v>
      </c>
      <c r="C14" s="45">
        <f t="shared" si="4"/>
        <v>-3543152</v>
      </c>
      <c r="D14" s="45">
        <f t="shared" si="4"/>
        <v>-3227504.0000000014</v>
      </c>
      <c r="E14" s="45">
        <f t="shared" si="4"/>
        <v>13615768.799999997</v>
      </c>
      <c r="F14" s="45">
        <f t="shared" si="4"/>
        <v>14101176.502994301</v>
      </c>
      <c r="G14" s="46">
        <f t="shared" si="4"/>
        <v>485407.70299429959</v>
      </c>
      <c r="H14" s="63" t="s">
        <v>35</v>
      </c>
      <c r="I14" s="164">
        <f>SUM(I4:I13)</f>
        <v>-2991496.9305404983</v>
      </c>
      <c r="J14" s="165">
        <f>SUM(J4:J13)</f>
        <v>55729.668960916519</v>
      </c>
      <c r="K14" s="805">
        <f>J14/J15-1</f>
        <v>0</v>
      </c>
      <c r="L14" s="7"/>
    </row>
    <row r="15" spans="1:13" ht="15" thickBot="1" x14ac:dyDescent="0.35">
      <c r="J15" s="952">
        <v>55729.668960916519</v>
      </c>
      <c r="K15" s="802" t="s">
        <v>474</v>
      </c>
    </row>
    <row r="16" spans="1:13" ht="15" thickBot="1" x14ac:dyDescent="0.35">
      <c r="H16" s="105" t="s">
        <v>172</v>
      </c>
      <c r="J16" s="175" t="s">
        <v>161</v>
      </c>
      <c r="K16" s="175" t="s">
        <v>170</v>
      </c>
    </row>
    <row r="17" spans="2:11" s="121" customFormat="1" ht="15" thickBot="1" x14ac:dyDescent="0.3">
      <c r="H17" s="169" t="s">
        <v>118</v>
      </c>
      <c r="I17" s="171" t="s">
        <v>167</v>
      </c>
      <c r="J17" s="172">
        <f>'Prínosy - Agendové IS'!Y15/('Výdavky - Agendové IS'!V15/1.2)</f>
        <v>1.0227305914573876</v>
      </c>
      <c r="K17" s="176">
        <v>1</v>
      </c>
    </row>
    <row r="18" spans="2:11" s="121" customFormat="1" ht="21" thickBot="1" x14ac:dyDescent="0.3">
      <c r="H18" s="170" t="s">
        <v>164</v>
      </c>
      <c r="I18" s="171" t="s">
        <v>168</v>
      </c>
      <c r="J18" s="173" t="s">
        <v>309</v>
      </c>
      <c r="K18" s="177" t="s">
        <v>171</v>
      </c>
    </row>
    <row r="19" spans="2:11" s="121" customFormat="1" ht="21" thickBot="1" x14ac:dyDescent="0.3">
      <c r="E19" s="166"/>
      <c r="H19" s="170" t="s">
        <v>165</v>
      </c>
      <c r="I19" s="171" t="s">
        <v>169</v>
      </c>
      <c r="J19" s="173">
        <f>IRR($G$4:$G$13,0.01)</f>
        <v>5.7962935057383591E-2</v>
      </c>
      <c r="K19" s="177">
        <v>0.05</v>
      </c>
    </row>
    <row r="20" spans="2:11" ht="15" thickBot="1" x14ac:dyDescent="0.35">
      <c r="H20" s="167"/>
      <c r="I20" s="168"/>
      <c r="J20" s="167"/>
      <c r="K20" s="178"/>
    </row>
    <row r="21" spans="2:11" s="121" customFormat="1" ht="21" thickBot="1" x14ac:dyDescent="0.3">
      <c r="H21" s="170" t="s">
        <v>166</v>
      </c>
      <c r="I21" s="171" t="s">
        <v>318</v>
      </c>
      <c r="J21" s="174">
        <f>I14</f>
        <v>-2991496.9305404983</v>
      </c>
      <c r="K21" s="179" t="s">
        <v>171</v>
      </c>
    </row>
    <row r="22" spans="2:11" s="121" customFormat="1" ht="21" thickBot="1" x14ac:dyDescent="0.3">
      <c r="H22" s="170" t="s">
        <v>71</v>
      </c>
      <c r="I22" s="171" t="s">
        <v>317</v>
      </c>
      <c r="J22" s="174">
        <f>J14</f>
        <v>55729.668960916519</v>
      </c>
      <c r="K22" s="179">
        <v>0</v>
      </c>
    </row>
    <row r="24" spans="2:11" x14ac:dyDescent="0.3">
      <c r="B24" t="s">
        <v>595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320" priority="1" stopIfTrue="1" operator="equal">
      <formula>"Rok návratu investície"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8"/>
  <sheetViews>
    <sheetView showGridLines="0" workbookViewId="0">
      <selection activeCell="B3" sqref="B3"/>
    </sheetView>
  </sheetViews>
  <sheetFormatPr defaultRowHeight="14.4" x14ac:dyDescent="0.3"/>
  <cols>
    <col min="1" max="1" width="3.5546875" customWidth="1"/>
    <col min="2" max="2" width="11.77734375" style="719" customWidth="1"/>
    <col min="3" max="3" width="12.77734375" style="719" customWidth="1"/>
    <col min="4" max="4" width="14.88671875" style="247" customWidth="1"/>
  </cols>
  <sheetData>
    <row r="1" spans="1:4" x14ac:dyDescent="0.3">
      <c r="B1" s="1048" t="s">
        <v>402</v>
      </c>
      <c r="C1" s="1049"/>
    </row>
    <row r="2" spans="1:4" ht="43.2" x14ac:dyDescent="0.3">
      <c r="B2" s="738" t="s">
        <v>403</v>
      </c>
      <c r="C2" s="739" t="s">
        <v>404</v>
      </c>
    </row>
    <row r="3" spans="1:4" x14ac:dyDescent="0.3">
      <c r="B3" s="720">
        <f>'Výdavky - Agendové IS'!V14</f>
        <v>3227504.0000000014</v>
      </c>
      <c r="C3" s="720">
        <f>B3/1.2</f>
        <v>2689586.6666666679</v>
      </c>
    </row>
    <row r="6" spans="1:4" x14ac:dyDescent="0.3">
      <c r="A6" s="721"/>
      <c r="B6" s="1050" t="s">
        <v>18</v>
      </c>
      <c r="C6" s="1051"/>
      <c r="D6" s="723"/>
    </row>
    <row r="7" spans="1:4" x14ac:dyDescent="0.3">
      <c r="A7" s="721"/>
      <c r="B7" s="724" t="s">
        <v>399</v>
      </c>
      <c r="C7" s="724" t="s">
        <v>400</v>
      </c>
      <c r="D7" s="725" t="s">
        <v>401</v>
      </c>
    </row>
    <row r="8" spans="1:4" x14ac:dyDescent="0.3">
      <c r="A8" s="726">
        <v>1</v>
      </c>
      <c r="B8" s="727">
        <f>'Prínosy - Agendové IS'!Y4</f>
        <v>0</v>
      </c>
      <c r="C8" s="727">
        <f>B8</f>
        <v>0</v>
      </c>
      <c r="D8" s="728">
        <f>IF(C8&gt;C$3,1,0)</f>
        <v>0</v>
      </c>
    </row>
    <row r="9" spans="1:4" x14ac:dyDescent="0.3">
      <c r="A9" s="729">
        <v>2</v>
      </c>
      <c r="B9" s="730">
        <f>'Prínosy - Agendové IS'!Y5</f>
        <v>352777.15218455181</v>
      </c>
      <c r="C9" s="730">
        <f>C8+B9</f>
        <v>352777.15218455181</v>
      </c>
      <c r="D9" s="731">
        <f>IF(AND(C9&gt;C$3,SUM(D$8:D8)=0),1,0)</f>
        <v>0</v>
      </c>
    </row>
    <row r="10" spans="1:4" x14ac:dyDescent="0.3">
      <c r="A10" s="729">
        <v>3</v>
      </c>
      <c r="B10" s="730">
        <f>'Prínosy - Agendové IS'!Y6</f>
        <v>352777.15218455181</v>
      </c>
      <c r="C10" s="730">
        <f t="shared" ref="C10:C17" si="0">C9+B10</f>
        <v>705554.30436910363</v>
      </c>
      <c r="D10" s="731">
        <f>IF(AND(C10&gt;C$3,SUM(D$8:D9)=0),1,0)</f>
        <v>0</v>
      </c>
    </row>
    <row r="11" spans="1:4" x14ac:dyDescent="0.3">
      <c r="A11" s="729">
        <v>4</v>
      </c>
      <c r="B11" s="730">
        <f>'Prínosy - Agendové IS'!Y7</f>
        <v>352777.15218455181</v>
      </c>
      <c r="C11" s="730">
        <f t="shared" si="0"/>
        <v>1058331.4565536554</v>
      </c>
      <c r="D11" s="731">
        <f>IF(AND(C11&gt;C$3,SUM(D$8:D10)=0),1,0)</f>
        <v>0</v>
      </c>
    </row>
    <row r="12" spans="1:4" x14ac:dyDescent="0.3">
      <c r="A12" s="729">
        <v>5</v>
      </c>
      <c r="B12" s="730">
        <f>'Prínosy - Agendové IS'!Y8</f>
        <v>352777.15218455181</v>
      </c>
      <c r="C12" s="730">
        <f t="shared" si="0"/>
        <v>1411108.6087382073</v>
      </c>
      <c r="D12" s="731">
        <f>IF(AND(C12&gt;C$3,SUM(D$8:D11)=0),1,0)</f>
        <v>0</v>
      </c>
    </row>
    <row r="13" spans="1:4" x14ac:dyDescent="0.3">
      <c r="A13" s="729">
        <v>6</v>
      </c>
      <c r="B13" s="730">
        <f>'Prínosy - Agendové IS'!Y9</f>
        <v>352777.15218455181</v>
      </c>
      <c r="C13" s="730">
        <f t="shared" si="0"/>
        <v>1763885.7609227591</v>
      </c>
      <c r="D13" s="731">
        <f>IF(AND(C13&gt;C$3,SUM(D$8:D12)=0),1,0)</f>
        <v>0</v>
      </c>
    </row>
    <row r="14" spans="1:4" x14ac:dyDescent="0.3">
      <c r="A14" s="729">
        <v>7</v>
      </c>
      <c r="B14" s="730">
        <f>'Prínosy - Agendové IS'!Y10</f>
        <v>352777.15218455181</v>
      </c>
      <c r="C14" s="730">
        <f t="shared" si="0"/>
        <v>2116662.9131073109</v>
      </c>
      <c r="D14" s="731">
        <f>IF(AND(C14&gt;C$3,SUM(D$8:D13)=0),1,0)</f>
        <v>0</v>
      </c>
    </row>
    <row r="15" spans="1:4" x14ac:dyDescent="0.3">
      <c r="A15" s="729">
        <v>8</v>
      </c>
      <c r="B15" s="730">
        <f>'Prínosy - Agendové IS'!Y11</f>
        <v>352777.15218455181</v>
      </c>
      <c r="C15" s="730">
        <f t="shared" si="0"/>
        <v>2469440.0652918629</v>
      </c>
      <c r="D15" s="731">
        <f>IF(AND(C15&gt;C$3,SUM(D$8:D14)=0),1,0)</f>
        <v>0</v>
      </c>
    </row>
    <row r="16" spans="1:4" x14ac:dyDescent="0.3">
      <c r="A16" s="729">
        <v>9</v>
      </c>
      <c r="B16" s="730">
        <f>'Prínosy - Agendové IS'!Y12</f>
        <v>352777.15218455181</v>
      </c>
      <c r="C16" s="730">
        <f t="shared" si="0"/>
        <v>2822217.2174764145</v>
      </c>
      <c r="D16" s="731">
        <f>IF(AND(C16&gt;C$3,SUM(D$8:D15)=0),1,0)</f>
        <v>1</v>
      </c>
    </row>
    <row r="17" spans="1:4" x14ac:dyDescent="0.3">
      <c r="A17" s="732">
        <v>10</v>
      </c>
      <c r="B17" s="733">
        <f>'Prínosy - Agendové IS'!Y13</f>
        <v>352777.15218455181</v>
      </c>
      <c r="C17" s="733">
        <f t="shared" si="0"/>
        <v>3174994.3696609661</v>
      </c>
      <c r="D17" s="734">
        <f>IF(AND(C17&gt;C$3,SUM(D$8:D16)=0),1,0)</f>
        <v>0</v>
      </c>
    </row>
    <row r="18" spans="1:4" x14ac:dyDescent="0.3">
      <c r="A18" s="735"/>
      <c r="B18" s="722">
        <f>SUM(B8:B17)</f>
        <v>3174994.3696609661</v>
      </c>
      <c r="C18" s="736"/>
      <c r="D18" s="737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showGridLines="0" topLeftCell="A4" zoomScale="80" zoomScaleNormal="80" workbookViewId="0">
      <selection activeCell="E7" sqref="E7"/>
    </sheetView>
  </sheetViews>
  <sheetFormatPr defaultColWidth="8.88671875" defaultRowHeight="14.4" x14ac:dyDescent="0.3"/>
  <cols>
    <col min="1" max="1" width="7.88671875" style="61" customWidth="1"/>
    <col min="2" max="2" width="12.6640625" style="61" customWidth="1"/>
    <col min="3" max="3" width="14" style="61" customWidth="1"/>
    <col min="4" max="4" width="9.44140625" style="61" customWidth="1"/>
    <col min="5" max="5" width="11.88671875" style="61" customWidth="1"/>
    <col min="6" max="6" width="11.6640625" style="61" customWidth="1"/>
    <col min="7" max="7" width="9.6640625" customWidth="1"/>
    <col min="8" max="8" width="11.44140625" customWidth="1"/>
    <col min="9" max="9" width="10.88671875" customWidth="1"/>
    <col min="10" max="10" width="9.44140625" customWidth="1"/>
    <col min="11" max="11" width="12.6640625" customWidth="1"/>
    <col min="12" max="12" width="11.44140625" customWidth="1"/>
    <col min="13" max="13" width="10.4414062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x14ac:dyDescent="0.3">
      <c r="A2" s="207" t="s">
        <v>118</v>
      </c>
      <c r="B2" s="208">
        <f>'CBA - Agendové IS'!J17</f>
        <v>1.0227305914573876</v>
      </c>
    </row>
    <row r="4" spans="1:18" x14ac:dyDescent="0.3">
      <c r="A4" s="198"/>
    </row>
    <row r="5" spans="1:18" ht="30" customHeight="1" x14ac:dyDescent="0.3">
      <c r="A5" s="198"/>
      <c r="B5" s="1060" t="s">
        <v>190</v>
      </c>
      <c r="C5" s="1061"/>
      <c r="D5" s="216"/>
      <c r="E5" s="1060" t="s">
        <v>191</v>
      </c>
      <c r="F5" s="1061"/>
      <c r="H5" s="1058" t="s">
        <v>186</v>
      </c>
      <c r="I5" s="1059"/>
      <c r="J5" s="61"/>
      <c r="K5" s="1060" t="s">
        <v>189</v>
      </c>
      <c r="L5" s="1061"/>
      <c r="N5" s="1058" t="s">
        <v>187</v>
      </c>
      <c r="O5" s="1059"/>
      <c r="Q5" s="1058" t="s">
        <v>188</v>
      </c>
      <c r="R5" s="1059"/>
    </row>
    <row r="6" spans="1:18" x14ac:dyDescent="0.3">
      <c r="A6" s="198"/>
      <c r="B6" s="211" t="s">
        <v>12</v>
      </c>
      <c r="C6" s="210" t="s">
        <v>118</v>
      </c>
      <c r="D6" s="217"/>
      <c r="E6" s="211" t="s">
        <v>12</v>
      </c>
      <c r="F6" s="210" t="s">
        <v>118</v>
      </c>
      <c r="H6" s="211" t="s">
        <v>12</v>
      </c>
      <c r="I6" s="210" t="s">
        <v>118</v>
      </c>
      <c r="J6" s="61"/>
      <c r="K6" s="211" t="s">
        <v>12</v>
      </c>
      <c r="L6" s="210" t="s">
        <v>118</v>
      </c>
      <c r="N6" s="212" t="s">
        <v>12</v>
      </c>
      <c r="O6" s="213" t="s">
        <v>118</v>
      </c>
      <c r="Q6" s="212" t="s">
        <v>12</v>
      </c>
      <c r="R6" s="213" t="s">
        <v>118</v>
      </c>
    </row>
    <row r="7" spans="1:18" ht="15" customHeight="1" x14ac:dyDescent="0.3">
      <c r="A7" s="198"/>
      <c r="B7" s="203">
        <v>0</v>
      </c>
      <c r="C7" s="194">
        <f>B2</f>
        <v>1.0227305914573876</v>
      </c>
      <c r="D7" s="214"/>
      <c r="E7" s="203">
        <v>0</v>
      </c>
      <c r="F7" s="194">
        <f>B2</f>
        <v>1.0227305914573876</v>
      </c>
      <c r="H7" s="203">
        <v>0</v>
      </c>
      <c r="I7" s="194">
        <f>B2</f>
        <v>1.0227305914573876</v>
      </c>
      <c r="J7" s="61"/>
      <c r="K7" s="203">
        <v>0</v>
      </c>
      <c r="L7" s="194">
        <f>B2</f>
        <v>1.0227305914573876</v>
      </c>
      <c r="N7" s="205">
        <v>0</v>
      </c>
      <c r="O7" s="196">
        <f>B2</f>
        <v>1.0227305914573876</v>
      </c>
      <c r="Q7" s="205">
        <v>0</v>
      </c>
      <c r="R7" s="196">
        <f>B2</f>
        <v>1.0227305914573876</v>
      </c>
    </row>
    <row r="8" spans="1:18" x14ac:dyDescent="0.3">
      <c r="A8" s="198"/>
      <c r="B8" s="203">
        <v>0.1</v>
      </c>
      <c r="C8" s="199">
        <f t="dataTable" ref="C8:C17" dt2D="0" dtr="0" r1="B7"/>
        <v>0.92246041881179497</v>
      </c>
      <c r="D8" s="215"/>
      <c r="E8" s="203">
        <v>0.1</v>
      </c>
      <c r="F8" s="199">
        <f t="dataTable" ref="F8:F17" dt2D="0" dtr="0" r1="E7" ca="1"/>
        <v>0.96604387448881035</v>
      </c>
      <c r="H8" s="203">
        <v>-0.1</v>
      </c>
      <c r="I8" s="199">
        <f t="dataTable" ref="I8:I17" dt2D="0" dtr="0" r1="H7" ca="1"/>
        <v>1.0227305914573876</v>
      </c>
      <c r="J8" s="61"/>
      <c r="K8" s="203">
        <v>-0.1</v>
      </c>
      <c r="L8" s="199">
        <f t="dataTable" ref="L8:L17" dt2D="0" dtr="0" r1="K7" ca="1"/>
        <v>1.0227305914573876</v>
      </c>
      <c r="N8" s="205">
        <v>-0.1</v>
      </c>
      <c r="O8" s="201">
        <f t="dataTable" ref="O8:O17" dt2D="0" dtr="0" r1="N7" ca="1"/>
        <v>1.0227305914573876</v>
      </c>
      <c r="Q8" s="205">
        <v>-0.1</v>
      </c>
      <c r="R8" s="201">
        <f t="dataTable" ref="R8:R17" dt2D="0" dtr="0" r1="Q7" ca="1"/>
        <v>1.0227305914573876</v>
      </c>
    </row>
    <row r="9" spans="1:18" x14ac:dyDescent="0.3">
      <c r="A9" s="197"/>
      <c r="B9" s="203">
        <v>0.2</v>
      </c>
      <c r="C9" s="199">
        <v>0.8400960354474909</v>
      </c>
      <c r="D9" s="215"/>
      <c r="E9" s="203">
        <v>0.2</v>
      </c>
      <c r="F9" s="199">
        <v>0.91531108072600698</v>
      </c>
      <c r="H9" s="203">
        <v>-0.2</v>
      </c>
      <c r="I9" s="199">
        <v>1.0227305914573876</v>
      </c>
      <c r="J9" s="61"/>
      <c r="K9" s="203">
        <v>-0.2</v>
      </c>
      <c r="L9" s="199">
        <v>1.0227305914573876</v>
      </c>
      <c r="N9" s="205">
        <v>-0.2</v>
      </c>
      <c r="O9" s="201">
        <v>1.0227305914573876</v>
      </c>
      <c r="Q9" s="205">
        <v>-0.2</v>
      </c>
      <c r="R9" s="201">
        <v>1.0227305914573876</v>
      </c>
    </row>
    <row r="10" spans="1:18" x14ac:dyDescent="0.3">
      <c r="A10" s="197"/>
      <c r="B10" s="203">
        <v>0.3</v>
      </c>
      <c r="C10" s="199">
        <v>0.77123428783081283</v>
      </c>
      <c r="D10" s="215"/>
      <c r="E10" s="203">
        <v>0.3</v>
      </c>
      <c r="F10" s="199">
        <v>0.86964098449225835</v>
      </c>
      <c r="H10" s="203">
        <v>-0.3</v>
      </c>
      <c r="I10" s="199">
        <v>1.0227305914573876</v>
      </c>
      <c r="J10" s="61"/>
      <c r="K10" s="203">
        <v>-0.3</v>
      </c>
      <c r="L10" s="199">
        <v>1.0227305914573876</v>
      </c>
      <c r="N10" s="205">
        <v>-0.3</v>
      </c>
      <c r="O10" s="201">
        <v>1.0227305914573876</v>
      </c>
      <c r="Q10" s="205">
        <v>-0.3</v>
      </c>
      <c r="R10" s="201">
        <v>1.0227305914573876</v>
      </c>
    </row>
    <row r="11" spans="1:18" x14ac:dyDescent="0.3">
      <c r="A11" s="197"/>
      <c r="B11" s="203">
        <v>0.4</v>
      </c>
      <c r="C11" s="199">
        <v>0.71280633675160987</v>
      </c>
      <c r="D11" s="215"/>
      <c r="E11" s="203">
        <v>0.4</v>
      </c>
      <c r="F11" s="199">
        <v>0.82831178013029161</v>
      </c>
      <c r="H11" s="203">
        <v>-0.4</v>
      </c>
      <c r="I11" s="199">
        <v>1.0227305914573876</v>
      </c>
      <c r="J11" s="61"/>
      <c r="K11" s="203">
        <v>-0.4</v>
      </c>
      <c r="L11" s="199">
        <v>1.0227305914573876</v>
      </c>
      <c r="N11" s="205">
        <v>-0.4</v>
      </c>
      <c r="O11" s="201">
        <v>1.0227305914573876</v>
      </c>
      <c r="Q11" s="205">
        <v>-0.4</v>
      </c>
      <c r="R11" s="201">
        <v>1.0227305914573876</v>
      </c>
    </row>
    <row r="12" spans="1:18" x14ac:dyDescent="0.3">
      <c r="A12" s="197"/>
      <c r="B12" s="203">
        <v>0.5</v>
      </c>
      <c r="C12" s="199">
        <v>0.66260782003065533</v>
      </c>
      <c r="D12" s="215"/>
      <c r="E12" s="203">
        <v>0.5</v>
      </c>
      <c r="F12" s="199">
        <v>0.79073265047788599</v>
      </c>
      <c r="H12" s="203">
        <v>-0.5</v>
      </c>
      <c r="I12" s="199">
        <v>1.0227305914573876</v>
      </c>
      <c r="J12" s="61"/>
      <c r="K12" s="203">
        <v>-0.5</v>
      </c>
      <c r="L12" s="199">
        <v>1.0227305914573876</v>
      </c>
      <c r="N12" s="205">
        <v>-0.5</v>
      </c>
      <c r="O12" s="201">
        <v>1.0227305914573876</v>
      </c>
      <c r="Q12" s="205">
        <v>-0.5</v>
      </c>
      <c r="R12" s="201">
        <v>1.0227305914573876</v>
      </c>
    </row>
    <row r="13" spans="1:18" x14ac:dyDescent="0.3">
      <c r="A13" s="197"/>
      <c r="B13" s="203">
        <v>0.6</v>
      </c>
      <c r="C13" s="199">
        <v>0.6190144803790617</v>
      </c>
      <c r="D13" s="215"/>
      <c r="E13" s="203">
        <v>0.6</v>
      </c>
      <c r="F13" s="199">
        <v>0.75641534276974043</v>
      </c>
      <c r="H13" s="203">
        <v>-0.6</v>
      </c>
      <c r="I13" s="199">
        <v>1.0227305914573876</v>
      </c>
      <c r="J13" s="61"/>
      <c r="K13" s="203">
        <v>-0.6</v>
      </c>
      <c r="L13" s="199">
        <v>1.0227305914573876</v>
      </c>
      <c r="N13" s="205">
        <v>-0.6</v>
      </c>
      <c r="O13" s="201">
        <v>1.0227305914573876</v>
      </c>
      <c r="Q13" s="205">
        <v>-0.6</v>
      </c>
      <c r="R13" s="201">
        <v>1.0227305914573876</v>
      </c>
    </row>
    <row r="14" spans="1:18" x14ac:dyDescent="0.3">
      <c r="A14" s="193"/>
      <c r="B14" s="203">
        <v>0.7</v>
      </c>
      <c r="C14" s="199">
        <v>0.58080311790471961</v>
      </c>
      <c r="D14" s="215"/>
      <c r="E14" s="203">
        <v>0.7</v>
      </c>
      <c r="F14" s="199">
        <v>0.72495283820812162</v>
      </c>
      <c r="H14" s="203">
        <v>-0.7</v>
      </c>
      <c r="I14" s="199">
        <v>1.0227305914573876</v>
      </c>
      <c r="J14" s="61"/>
      <c r="K14" s="203">
        <v>-0.7</v>
      </c>
      <c r="L14" s="199">
        <v>1.0227305914573876</v>
      </c>
      <c r="N14" s="205">
        <v>-0.7</v>
      </c>
      <c r="O14" s="201">
        <v>1.0227305914573876</v>
      </c>
      <c r="Q14" s="205">
        <v>-0.7</v>
      </c>
      <c r="R14" s="201">
        <v>1.0227305914573876</v>
      </c>
    </row>
    <row r="15" spans="1:18" x14ac:dyDescent="0.3">
      <c r="A15" s="193"/>
      <c r="B15" s="203">
        <v>0.8</v>
      </c>
      <c r="C15" s="199">
        <v>0.54703500195825694</v>
      </c>
      <c r="D15" s="215"/>
      <c r="E15" s="203">
        <v>0.8</v>
      </c>
      <c r="F15" s="199">
        <v>0.69600313229071586</v>
      </c>
      <c r="H15" s="203">
        <v>-0.8</v>
      </c>
      <c r="I15" s="199">
        <v>1.0227305914573876</v>
      </c>
      <c r="J15" s="61"/>
      <c r="K15" s="203">
        <v>-0.8</v>
      </c>
      <c r="L15" s="199">
        <v>1.0227305914573876</v>
      </c>
      <c r="N15" s="205">
        <v>-0.8</v>
      </c>
      <c r="O15" s="201">
        <v>1.0227305914573876</v>
      </c>
      <c r="Q15" s="205">
        <v>-0.8</v>
      </c>
      <c r="R15" s="201">
        <v>1.0227305914573876</v>
      </c>
    </row>
    <row r="16" spans="1:18" x14ac:dyDescent="0.3">
      <c r="A16" s="193"/>
      <c r="B16" s="203">
        <v>0.9</v>
      </c>
      <c r="C16" s="199">
        <v>0.5169777191642938</v>
      </c>
      <c r="D16" s="215"/>
      <c r="E16" s="203">
        <v>0.9</v>
      </c>
      <c r="F16" s="199">
        <v>0.66927675213135318</v>
      </c>
      <c r="H16" s="203">
        <v>-0.9</v>
      </c>
      <c r="I16" s="199">
        <v>1.0227305914573876</v>
      </c>
      <c r="J16" s="61"/>
      <c r="K16" s="203">
        <v>-0.9</v>
      </c>
      <c r="L16" s="199">
        <v>1.0227305914573876</v>
      </c>
      <c r="N16" s="205">
        <v>-0.9</v>
      </c>
      <c r="O16" s="201">
        <v>1.0227305914573876</v>
      </c>
      <c r="Q16" s="205">
        <v>-0.9</v>
      </c>
      <c r="R16" s="201">
        <v>1.0227305914573876</v>
      </c>
    </row>
    <row r="17" spans="1:18" x14ac:dyDescent="0.3">
      <c r="A17" s="193"/>
      <c r="B17" s="204">
        <v>1</v>
      </c>
      <c r="C17" s="200">
        <v>0.49005144426222852</v>
      </c>
      <c r="D17" s="215"/>
      <c r="E17" s="204">
        <v>1</v>
      </c>
      <c r="F17" s="200">
        <v>0.64452704342131684</v>
      </c>
      <c r="H17" s="204">
        <v>-1</v>
      </c>
      <c r="I17" s="200">
        <v>1.0227305914573876</v>
      </c>
      <c r="J17" s="61"/>
      <c r="K17" s="204">
        <v>-1</v>
      </c>
      <c r="L17" s="200">
        <v>1.0227305914573876</v>
      </c>
      <c r="N17" s="206">
        <v>-1</v>
      </c>
      <c r="O17" s="202">
        <v>1.0227305914573876</v>
      </c>
      <c r="Q17" s="206">
        <v>-1</v>
      </c>
      <c r="R17" s="202">
        <v>1.0227305914573876</v>
      </c>
    </row>
    <row r="18" spans="1:18" x14ac:dyDescent="0.3">
      <c r="A18" s="197"/>
      <c r="B18" s="198"/>
      <c r="C18" s="198"/>
      <c r="D18" s="198"/>
      <c r="E18" s="198"/>
      <c r="F18" s="198"/>
      <c r="N18" s="209"/>
    </row>
    <row r="19" spans="1:18" x14ac:dyDescent="0.3">
      <c r="A19" s="197"/>
      <c r="B19" s="198"/>
      <c r="C19" s="198"/>
      <c r="D19" s="198"/>
      <c r="E19" s="198"/>
      <c r="F19" s="198"/>
    </row>
    <row r="20" spans="1:18" x14ac:dyDescent="0.3">
      <c r="A20" s="198"/>
      <c r="B20" s="198"/>
      <c r="C20" s="198"/>
      <c r="D20" s="198"/>
      <c r="E20" s="198"/>
      <c r="F20" s="198"/>
    </row>
    <row r="25" spans="1:18" ht="18.75" customHeight="1" x14ac:dyDescent="0.3">
      <c r="B25" s="198"/>
      <c r="C25" s="198"/>
      <c r="D25" s="1052" t="s">
        <v>188</v>
      </c>
      <c r="E25" s="1053"/>
      <c r="F25" s="1053"/>
      <c r="G25" s="1053"/>
      <c r="H25" s="1053"/>
      <c r="I25" s="1053"/>
      <c r="J25" s="1053"/>
      <c r="K25" s="1053"/>
      <c r="L25" s="1053"/>
      <c r="M25" s="1053"/>
      <c r="N25" s="1054"/>
    </row>
    <row r="26" spans="1:18" x14ac:dyDescent="0.3">
      <c r="B26" s="198"/>
      <c r="C26" s="218">
        <f>B2</f>
        <v>1.0227305914573876</v>
      </c>
      <c r="D26" s="224">
        <v>0</v>
      </c>
      <c r="E26" s="221">
        <v>-0.1</v>
      </c>
      <c r="F26" s="221">
        <v>-0.2</v>
      </c>
      <c r="G26" s="221">
        <v>-0.3</v>
      </c>
      <c r="H26" s="221">
        <v>-0.4</v>
      </c>
      <c r="I26" s="221">
        <v>-0.5</v>
      </c>
      <c r="J26" s="221">
        <v>-0.6</v>
      </c>
      <c r="K26" s="221">
        <v>-0.7</v>
      </c>
      <c r="L26" s="221">
        <v>-0.8</v>
      </c>
      <c r="M26" s="221">
        <v>-0.9</v>
      </c>
      <c r="N26" s="225">
        <v>-1</v>
      </c>
    </row>
    <row r="27" spans="1:18" ht="14.25" customHeight="1" x14ac:dyDescent="0.3">
      <c r="B27" s="1055" t="s">
        <v>187</v>
      </c>
      <c r="C27" s="226">
        <v>0</v>
      </c>
      <c r="D27" s="215">
        <f t="dataTable" ref="D27:N37" dt2D="1" dtr="1" r1="Q7" r2="N7" ca="1"/>
        <v>1.0227305914573876</v>
      </c>
      <c r="E27" s="215">
        <v>1.0227305914573876</v>
      </c>
      <c r="F27" s="215">
        <v>1.0227305914573876</v>
      </c>
      <c r="G27" s="220">
        <v>1.0227305914573876</v>
      </c>
      <c r="H27" s="220">
        <v>1.0227305914573876</v>
      </c>
      <c r="I27" s="220">
        <v>1.0227305914573876</v>
      </c>
      <c r="J27" s="220">
        <v>1.0227305914573876</v>
      </c>
      <c r="K27" s="220">
        <v>1.0227305914573876</v>
      </c>
      <c r="L27" s="220">
        <v>1.0227305914573876</v>
      </c>
      <c r="M27" s="220">
        <v>1.0227305914573876</v>
      </c>
      <c r="N27" s="201">
        <v>1.0227305914573876</v>
      </c>
    </row>
    <row r="28" spans="1:18" x14ac:dyDescent="0.3">
      <c r="B28" s="1056"/>
      <c r="C28" s="219">
        <v>-0.1</v>
      </c>
      <c r="D28" s="215">
        <v>1.0227305914573876</v>
      </c>
      <c r="E28" s="215">
        <v>1.0227305914573876</v>
      </c>
      <c r="F28" s="215">
        <v>1.0227305914573876</v>
      </c>
      <c r="G28" s="220">
        <v>1.0227305914573876</v>
      </c>
      <c r="H28" s="220">
        <v>1.0227305914573876</v>
      </c>
      <c r="I28" s="220">
        <v>1.0227305914573876</v>
      </c>
      <c r="J28" s="220">
        <v>1.0227305914573876</v>
      </c>
      <c r="K28" s="220">
        <v>1.0227305914573876</v>
      </c>
      <c r="L28" s="220">
        <v>1.0227305914573876</v>
      </c>
      <c r="M28" s="220">
        <v>1.0227305914573876</v>
      </c>
      <c r="N28" s="201">
        <v>1.0227305914573876</v>
      </c>
    </row>
    <row r="29" spans="1:18" x14ac:dyDescent="0.3">
      <c r="B29" s="1056"/>
      <c r="C29" s="219">
        <v>-0.2</v>
      </c>
      <c r="D29" s="215">
        <v>1.0227305914573876</v>
      </c>
      <c r="E29" s="215">
        <v>1.0227305914573876</v>
      </c>
      <c r="F29" s="215">
        <v>1.0227305914573876</v>
      </c>
      <c r="G29" s="220">
        <v>1.0227305914573876</v>
      </c>
      <c r="H29" s="220">
        <v>1.0227305914573876</v>
      </c>
      <c r="I29" s="220">
        <v>1.0227305914573876</v>
      </c>
      <c r="J29" s="220">
        <v>1.0227305914573876</v>
      </c>
      <c r="K29" s="220">
        <v>1.0227305914573876</v>
      </c>
      <c r="L29" s="220">
        <v>1.0227305914573876</v>
      </c>
      <c r="M29" s="220">
        <v>1.0227305914573876</v>
      </c>
      <c r="N29" s="201">
        <v>1.0227305914573876</v>
      </c>
    </row>
    <row r="30" spans="1:18" x14ac:dyDescent="0.3">
      <c r="B30" s="1056"/>
      <c r="C30" s="219">
        <v>-0.3</v>
      </c>
      <c r="D30" s="215">
        <v>1.0227305914573876</v>
      </c>
      <c r="E30" s="215">
        <v>1.0227305914573876</v>
      </c>
      <c r="F30" s="215">
        <v>1.0227305914573876</v>
      </c>
      <c r="G30" s="220">
        <v>1.0227305914573876</v>
      </c>
      <c r="H30" s="220">
        <v>1.0227305914573876</v>
      </c>
      <c r="I30" s="220">
        <v>1.0227305914573876</v>
      </c>
      <c r="J30" s="220">
        <v>1.0227305914573876</v>
      </c>
      <c r="K30" s="220">
        <v>1.0227305914573876</v>
      </c>
      <c r="L30" s="220">
        <v>1.0227305914573876</v>
      </c>
      <c r="M30" s="220">
        <v>1.0227305914573876</v>
      </c>
      <c r="N30" s="201">
        <v>1.0227305914573876</v>
      </c>
    </row>
    <row r="31" spans="1:18" x14ac:dyDescent="0.3">
      <c r="B31" s="1056"/>
      <c r="C31" s="219">
        <v>-0.4</v>
      </c>
      <c r="D31" s="215">
        <v>1.0227305914573876</v>
      </c>
      <c r="E31" s="215">
        <v>1.0227305914573876</v>
      </c>
      <c r="F31" s="215">
        <v>1.0227305914573876</v>
      </c>
      <c r="G31" s="220">
        <v>1.0227305914573876</v>
      </c>
      <c r="H31" s="220">
        <v>1.0227305914573876</v>
      </c>
      <c r="I31" s="220">
        <v>1.0227305914573876</v>
      </c>
      <c r="J31" s="220">
        <v>1.0227305914573876</v>
      </c>
      <c r="K31" s="220">
        <v>1.0227305914573876</v>
      </c>
      <c r="L31" s="220">
        <v>1.0227305914573876</v>
      </c>
      <c r="M31" s="220">
        <v>1.0227305914573876</v>
      </c>
      <c r="N31" s="201">
        <v>1.0227305914573876</v>
      </c>
    </row>
    <row r="32" spans="1:18" x14ac:dyDescent="0.3">
      <c r="B32" s="1056"/>
      <c r="C32" s="219">
        <v>-0.5</v>
      </c>
      <c r="D32" s="215">
        <v>1.0227305914573876</v>
      </c>
      <c r="E32" s="215">
        <v>1.0227305914573876</v>
      </c>
      <c r="F32" s="215">
        <v>1.0227305914573876</v>
      </c>
      <c r="G32" s="220">
        <v>1.0227305914573876</v>
      </c>
      <c r="H32" s="220">
        <v>1.0227305914573876</v>
      </c>
      <c r="I32" s="220">
        <v>1.0227305914573876</v>
      </c>
      <c r="J32" s="220">
        <v>1.0227305914573876</v>
      </c>
      <c r="K32" s="220">
        <v>1.0227305914573876</v>
      </c>
      <c r="L32" s="220">
        <v>1.0227305914573876</v>
      </c>
      <c r="M32" s="220">
        <v>1.0227305914573876</v>
      </c>
      <c r="N32" s="201">
        <v>1.0227305914573876</v>
      </c>
    </row>
    <row r="33" spans="2:14" x14ac:dyDescent="0.3">
      <c r="B33" s="1056"/>
      <c r="C33" s="219">
        <v>-0.6</v>
      </c>
      <c r="D33" s="215">
        <v>1.0227305914573876</v>
      </c>
      <c r="E33" s="215">
        <v>1.0227305914573876</v>
      </c>
      <c r="F33" s="215">
        <v>1.0227305914573876</v>
      </c>
      <c r="G33" s="220">
        <v>1.0227305914573876</v>
      </c>
      <c r="H33" s="220">
        <v>1.0227305914573876</v>
      </c>
      <c r="I33" s="220">
        <v>1.0227305914573876</v>
      </c>
      <c r="J33" s="220">
        <v>1.0227305914573876</v>
      </c>
      <c r="K33" s="220">
        <v>1.0227305914573876</v>
      </c>
      <c r="L33" s="220">
        <v>1.0227305914573876</v>
      </c>
      <c r="M33" s="220">
        <v>1.0227305914573876</v>
      </c>
      <c r="N33" s="201">
        <v>1.0227305914573876</v>
      </c>
    </row>
    <row r="34" spans="2:14" x14ac:dyDescent="0.3">
      <c r="B34" s="1056"/>
      <c r="C34" s="219">
        <v>-0.7</v>
      </c>
      <c r="D34" s="215">
        <v>1.0227305914573876</v>
      </c>
      <c r="E34" s="215">
        <v>1.0227305914573876</v>
      </c>
      <c r="F34" s="215">
        <v>1.0227305914573876</v>
      </c>
      <c r="G34" s="220">
        <v>1.0227305914573876</v>
      </c>
      <c r="H34" s="220">
        <v>1.0227305914573876</v>
      </c>
      <c r="I34" s="220">
        <v>1.0227305914573876</v>
      </c>
      <c r="J34" s="220">
        <v>1.0227305914573876</v>
      </c>
      <c r="K34" s="220">
        <v>1.0227305914573876</v>
      </c>
      <c r="L34" s="220">
        <v>1.0227305914573876</v>
      </c>
      <c r="M34" s="220">
        <v>1.0227305914573876</v>
      </c>
      <c r="N34" s="201">
        <v>1.0227305914573876</v>
      </c>
    </row>
    <row r="35" spans="2:14" x14ac:dyDescent="0.3">
      <c r="B35" s="1056"/>
      <c r="C35" s="219">
        <v>-0.8</v>
      </c>
      <c r="D35" s="215">
        <v>1.0227305914573876</v>
      </c>
      <c r="E35" s="215">
        <v>1.0227305914573876</v>
      </c>
      <c r="F35" s="215">
        <v>1.0227305914573876</v>
      </c>
      <c r="G35" s="220">
        <v>1.0227305914573876</v>
      </c>
      <c r="H35" s="220">
        <v>1.0227305914573876</v>
      </c>
      <c r="I35" s="220">
        <v>1.0227305914573876</v>
      </c>
      <c r="J35" s="220">
        <v>1.0227305914573876</v>
      </c>
      <c r="K35" s="220">
        <v>1.0227305914573876</v>
      </c>
      <c r="L35" s="220">
        <v>1.0227305914573876</v>
      </c>
      <c r="M35" s="220">
        <v>1.0227305914573876</v>
      </c>
      <c r="N35" s="201">
        <v>1.0227305914573876</v>
      </c>
    </row>
    <row r="36" spans="2:14" x14ac:dyDescent="0.3">
      <c r="B36" s="1056"/>
      <c r="C36" s="219">
        <v>-0.9</v>
      </c>
      <c r="D36" s="215">
        <v>1.0227305914573876</v>
      </c>
      <c r="E36" s="215">
        <v>1.0227305914573876</v>
      </c>
      <c r="F36" s="215">
        <v>1.0227305914573876</v>
      </c>
      <c r="G36" s="220">
        <v>1.0227305914573876</v>
      </c>
      <c r="H36" s="220">
        <v>1.0227305914573876</v>
      </c>
      <c r="I36" s="220">
        <v>1.0227305914573876</v>
      </c>
      <c r="J36" s="220">
        <v>1.0227305914573876</v>
      </c>
      <c r="K36" s="220">
        <v>1.0227305914573876</v>
      </c>
      <c r="L36" s="220">
        <v>1.0227305914573876</v>
      </c>
      <c r="M36" s="220">
        <v>1.0227305914573876</v>
      </c>
      <c r="N36" s="201">
        <v>1.0227305914573876</v>
      </c>
    </row>
    <row r="37" spans="2:14" x14ac:dyDescent="0.3">
      <c r="B37" s="1057"/>
      <c r="C37" s="225">
        <v>-1</v>
      </c>
      <c r="D37" s="222">
        <v>1.0227305914573876</v>
      </c>
      <c r="E37" s="222">
        <v>1.0227305914573876</v>
      </c>
      <c r="F37" s="222">
        <v>1.0227305914573876</v>
      </c>
      <c r="G37" s="223">
        <v>1.0227305914573876</v>
      </c>
      <c r="H37" s="223">
        <v>1.0227305914573876</v>
      </c>
      <c r="I37" s="223">
        <v>1.0227305914573876</v>
      </c>
      <c r="J37" s="223">
        <v>1.0227305914573876</v>
      </c>
      <c r="K37" s="223">
        <v>1.0227305914573876</v>
      </c>
      <c r="L37" s="223">
        <v>1.0227305914573876</v>
      </c>
      <c r="M37" s="223">
        <v>1.0227305914573876</v>
      </c>
      <c r="N37" s="202">
        <v>1.0227305914573876</v>
      </c>
    </row>
    <row r="41" spans="2:14" x14ac:dyDescent="0.3">
      <c r="B41" s="198"/>
      <c r="C41" s="198"/>
      <c r="D41" s="1052" t="s">
        <v>189</v>
      </c>
      <c r="E41" s="1053"/>
      <c r="F41" s="1053"/>
      <c r="G41" s="1053"/>
      <c r="H41" s="1053"/>
      <c r="I41" s="1053"/>
      <c r="J41" s="1053"/>
      <c r="K41" s="1053"/>
      <c r="L41" s="1053"/>
      <c r="M41" s="1053"/>
      <c r="N41" s="1054"/>
    </row>
    <row r="42" spans="2:14" x14ac:dyDescent="0.3">
      <c r="B42" s="198"/>
      <c r="C42" s="218">
        <f>B2</f>
        <v>1.0227305914573876</v>
      </c>
      <c r="D42" s="224">
        <v>0</v>
      </c>
      <c r="E42" s="221">
        <v>-0.1</v>
      </c>
      <c r="F42" s="221">
        <v>-0.2</v>
      </c>
      <c r="G42" s="221">
        <v>-0.3</v>
      </c>
      <c r="H42" s="221">
        <v>-0.4</v>
      </c>
      <c r="I42" s="221">
        <v>-0.5</v>
      </c>
      <c r="J42" s="221">
        <v>-0.6</v>
      </c>
      <c r="K42" s="221">
        <v>-0.7</v>
      </c>
      <c r="L42" s="221">
        <v>-0.8</v>
      </c>
      <c r="M42" s="221">
        <v>-0.9</v>
      </c>
      <c r="N42" s="225">
        <v>-1</v>
      </c>
    </row>
    <row r="43" spans="2:14" x14ac:dyDescent="0.3">
      <c r="B43" s="1055" t="s">
        <v>191</v>
      </c>
      <c r="C43" s="226">
        <v>0</v>
      </c>
      <c r="D43" s="215">
        <f t="dataTable" ref="D43:N53" dt2D="1" dtr="1" r1="K7" r2="E7" ca="1"/>
        <v>1.0227305914573876</v>
      </c>
      <c r="E43" s="215">
        <v>1.0227305914573876</v>
      </c>
      <c r="F43" s="215">
        <v>1.0227305914573876</v>
      </c>
      <c r="G43" s="220">
        <v>1.0227305914573876</v>
      </c>
      <c r="H43" s="220">
        <v>1.0227305914573876</v>
      </c>
      <c r="I43" s="220">
        <v>1.0227305914573876</v>
      </c>
      <c r="J43" s="220">
        <v>1.0227305914573876</v>
      </c>
      <c r="K43" s="220">
        <v>1.0227305914573876</v>
      </c>
      <c r="L43" s="220">
        <v>1.0227305914573876</v>
      </c>
      <c r="M43" s="220">
        <v>1.0227305914573876</v>
      </c>
      <c r="N43" s="201">
        <v>1.0227305914573876</v>
      </c>
    </row>
    <row r="44" spans="2:14" x14ac:dyDescent="0.3">
      <c r="B44" s="1056"/>
      <c r="C44" s="219">
        <v>0.1</v>
      </c>
      <c r="D44" s="215">
        <v>0.96604387448881035</v>
      </c>
      <c r="E44" s="215">
        <v>0.96604387448881035</v>
      </c>
      <c r="F44" s="215">
        <v>0.96604387448881035</v>
      </c>
      <c r="G44" s="220">
        <v>0.96604387448881035</v>
      </c>
      <c r="H44" s="220">
        <v>0.96604387448881035</v>
      </c>
      <c r="I44" s="220">
        <v>0.96604387448881035</v>
      </c>
      <c r="J44" s="220">
        <v>0.96604387448881035</v>
      </c>
      <c r="K44" s="220">
        <v>0.96604387448881035</v>
      </c>
      <c r="L44" s="220">
        <v>0.96604387448881035</v>
      </c>
      <c r="M44" s="220">
        <v>0.96604387448881035</v>
      </c>
      <c r="N44" s="201">
        <v>0.96604387448881035</v>
      </c>
    </row>
    <row r="45" spans="2:14" x14ac:dyDescent="0.3">
      <c r="B45" s="1056"/>
      <c r="C45" s="219">
        <v>0.2</v>
      </c>
      <c r="D45" s="215">
        <v>0.91531108072600698</v>
      </c>
      <c r="E45" s="215">
        <v>0.91531108072600698</v>
      </c>
      <c r="F45" s="215">
        <v>0.91531108072600698</v>
      </c>
      <c r="G45" s="220">
        <v>0.91531108072600698</v>
      </c>
      <c r="H45" s="220">
        <v>0.91531108072600698</v>
      </c>
      <c r="I45" s="220">
        <v>0.91531108072600698</v>
      </c>
      <c r="J45" s="220">
        <v>0.91531108072600698</v>
      </c>
      <c r="K45" s="220">
        <v>0.91531108072600698</v>
      </c>
      <c r="L45" s="220">
        <v>0.91531108072600698</v>
      </c>
      <c r="M45" s="220">
        <v>0.91531108072600698</v>
      </c>
      <c r="N45" s="201">
        <v>0.91531108072600698</v>
      </c>
    </row>
    <row r="46" spans="2:14" x14ac:dyDescent="0.3">
      <c r="B46" s="1056"/>
      <c r="C46" s="219">
        <v>0.3</v>
      </c>
      <c r="D46" s="215">
        <v>0.86964098449225835</v>
      </c>
      <c r="E46" s="215">
        <v>0.86964098449225835</v>
      </c>
      <c r="F46" s="215">
        <v>0.86964098449225835</v>
      </c>
      <c r="G46" s="220">
        <v>0.86964098449225835</v>
      </c>
      <c r="H46" s="220">
        <v>0.86964098449225835</v>
      </c>
      <c r="I46" s="220">
        <v>0.86964098449225835</v>
      </c>
      <c r="J46" s="220">
        <v>0.86964098449225835</v>
      </c>
      <c r="K46" s="220">
        <v>0.86964098449225835</v>
      </c>
      <c r="L46" s="220">
        <v>0.86964098449225835</v>
      </c>
      <c r="M46" s="220">
        <v>0.86964098449225835</v>
      </c>
      <c r="N46" s="201">
        <v>0.86964098449225835</v>
      </c>
    </row>
    <row r="47" spans="2:14" x14ac:dyDescent="0.3">
      <c r="B47" s="1056"/>
      <c r="C47" s="219">
        <v>0.4</v>
      </c>
      <c r="D47" s="215">
        <v>0.82831178013029161</v>
      </c>
      <c r="E47" s="215">
        <v>0.82831178013029161</v>
      </c>
      <c r="F47" s="215">
        <v>0.82831178013029161</v>
      </c>
      <c r="G47" s="220">
        <v>0.82831178013029161</v>
      </c>
      <c r="H47" s="220">
        <v>0.82831178013029161</v>
      </c>
      <c r="I47" s="220">
        <v>0.82831178013029161</v>
      </c>
      <c r="J47" s="220">
        <v>0.82831178013029161</v>
      </c>
      <c r="K47" s="220">
        <v>0.82831178013029161</v>
      </c>
      <c r="L47" s="220">
        <v>0.82831178013029161</v>
      </c>
      <c r="M47" s="220">
        <v>0.82831178013029161</v>
      </c>
      <c r="N47" s="201">
        <v>0.82831178013029161</v>
      </c>
    </row>
    <row r="48" spans="2:14" x14ac:dyDescent="0.3">
      <c r="B48" s="1056"/>
      <c r="C48" s="219">
        <v>0.5</v>
      </c>
      <c r="D48" s="215">
        <v>0.79073265047788599</v>
      </c>
      <c r="E48" s="215">
        <v>0.79073265047788599</v>
      </c>
      <c r="F48" s="215">
        <v>0.79073265047788599</v>
      </c>
      <c r="G48" s="220">
        <v>0.79073265047788599</v>
      </c>
      <c r="H48" s="220">
        <v>0.79073265047788599</v>
      </c>
      <c r="I48" s="220">
        <v>0.79073265047788599</v>
      </c>
      <c r="J48" s="220">
        <v>0.79073265047788599</v>
      </c>
      <c r="K48" s="220">
        <v>0.79073265047788599</v>
      </c>
      <c r="L48" s="220">
        <v>0.79073265047788599</v>
      </c>
      <c r="M48" s="220">
        <v>0.79073265047788599</v>
      </c>
      <c r="N48" s="201">
        <v>0.79073265047788599</v>
      </c>
    </row>
    <row r="49" spans="2:14" x14ac:dyDescent="0.3">
      <c r="B49" s="1056"/>
      <c r="C49" s="219">
        <v>0.6</v>
      </c>
      <c r="D49" s="215">
        <v>0.75641534276974043</v>
      </c>
      <c r="E49" s="215">
        <v>0.75641534276974043</v>
      </c>
      <c r="F49" s="215">
        <v>0.75641534276974043</v>
      </c>
      <c r="G49" s="220">
        <v>0.75641534276974043</v>
      </c>
      <c r="H49" s="220">
        <v>0.75641534276974043</v>
      </c>
      <c r="I49" s="220">
        <v>0.75641534276974043</v>
      </c>
      <c r="J49" s="220">
        <v>0.75641534276974043</v>
      </c>
      <c r="K49" s="220">
        <v>0.75641534276974043</v>
      </c>
      <c r="L49" s="220">
        <v>0.75641534276974043</v>
      </c>
      <c r="M49" s="220">
        <v>0.75641534276974043</v>
      </c>
      <c r="N49" s="201">
        <v>0.75641534276974043</v>
      </c>
    </row>
    <row r="50" spans="2:14" x14ac:dyDescent="0.3">
      <c r="B50" s="1056"/>
      <c r="C50" s="219">
        <v>0.7</v>
      </c>
      <c r="D50" s="215">
        <v>0.72495283820812162</v>
      </c>
      <c r="E50" s="215">
        <v>0.72495283820812162</v>
      </c>
      <c r="F50" s="215">
        <v>0.72495283820812162</v>
      </c>
      <c r="G50" s="220">
        <v>0.72495283820812162</v>
      </c>
      <c r="H50" s="220">
        <v>0.72495283820812162</v>
      </c>
      <c r="I50" s="220">
        <v>0.72495283820812162</v>
      </c>
      <c r="J50" s="220">
        <v>0.72495283820812162</v>
      </c>
      <c r="K50" s="220">
        <v>0.72495283820812162</v>
      </c>
      <c r="L50" s="220">
        <v>0.72495283820812162</v>
      </c>
      <c r="M50" s="220">
        <v>0.72495283820812162</v>
      </c>
      <c r="N50" s="201">
        <v>0.72495283820812162</v>
      </c>
    </row>
    <row r="51" spans="2:14" x14ac:dyDescent="0.3">
      <c r="B51" s="1056"/>
      <c r="C51" s="219">
        <v>0.8</v>
      </c>
      <c r="D51" s="215">
        <v>0.69600313229071586</v>
      </c>
      <c r="E51" s="215">
        <v>0.69600313229071586</v>
      </c>
      <c r="F51" s="215">
        <v>0.69600313229071586</v>
      </c>
      <c r="G51" s="220">
        <v>0.69600313229071586</v>
      </c>
      <c r="H51" s="220">
        <v>0.69600313229071586</v>
      </c>
      <c r="I51" s="220">
        <v>0.69600313229071586</v>
      </c>
      <c r="J51" s="220">
        <v>0.69600313229071586</v>
      </c>
      <c r="K51" s="220">
        <v>0.69600313229071586</v>
      </c>
      <c r="L51" s="220">
        <v>0.69600313229071586</v>
      </c>
      <c r="M51" s="220">
        <v>0.69600313229071586</v>
      </c>
      <c r="N51" s="201">
        <v>0.69600313229071586</v>
      </c>
    </row>
    <row r="52" spans="2:14" x14ac:dyDescent="0.3">
      <c r="B52" s="1056"/>
      <c r="C52" s="219">
        <v>0.9</v>
      </c>
      <c r="D52" s="215">
        <v>0.66927675213135318</v>
      </c>
      <c r="E52" s="215">
        <v>0.66927675213135318</v>
      </c>
      <c r="F52" s="215">
        <v>0.66927675213135318</v>
      </c>
      <c r="G52" s="220">
        <v>0.66927675213135318</v>
      </c>
      <c r="H52" s="220">
        <v>0.66927675213135318</v>
      </c>
      <c r="I52" s="220">
        <v>0.66927675213135318</v>
      </c>
      <c r="J52" s="220">
        <v>0.66927675213135318</v>
      </c>
      <c r="K52" s="220">
        <v>0.66927675213135318</v>
      </c>
      <c r="L52" s="220">
        <v>0.66927675213135318</v>
      </c>
      <c r="M52" s="220">
        <v>0.66927675213135318</v>
      </c>
      <c r="N52" s="201">
        <v>0.66927675213135318</v>
      </c>
    </row>
    <row r="53" spans="2:14" x14ac:dyDescent="0.3">
      <c r="B53" s="1057"/>
      <c r="C53" s="225">
        <v>1</v>
      </c>
      <c r="D53" s="222">
        <v>0.64452704342131684</v>
      </c>
      <c r="E53" s="222">
        <v>0.64452704342131684</v>
      </c>
      <c r="F53" s="222">
        <v>0.64452704342131684</v>
      </c>
      <c r="G53" s="223">
        <v>0.64452704342131684</v>
      </c>
      <c r="H53" s="223">
        <v>0.64452704342131684</v>
      </c>
      <c r="I53" s="223">
        <v>0.64452704342131684</v>
      </c>
      <c r="J53" s="223">
        <v>0.64452704342131684</v>
      </c>
      <c r="K53" s="223">
        <v>0.64452704342131684</v>
      </c>
      <c r="L53" s="223">
        <v>0.64452704342131684</v>
      </c>
      <c r="M53" s="223">
        <v>0.64452704342131684</v>
      </c>
      <c r="N53" s="202">
        <v>0.64452704342131684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8"/>
  <sheetViews>
    <sheetView showGridLines="0" zoomScale="70" zoomScaleNormal="70" workbookViewId="0">
      <pane ySplit="3" topLeftCell="A4" activePane="bottomLeft" state="frozen"/>
      <selection pane="bottomLeft" activeCell="B19" sqref="B19"/>
    </sheetView>
  </sheetViews>
  <sheetFormatPr defaultColWidth="8.88671875" defaultRowHeight="14.4" x14ac:dyDescent="0.3"/>
  <cols>
    <col min="1" max="1" width="9.44140625" customWidth="1"/>
    <col min="2" max="3" width="14.33203125" bestFit="1" customWidth="1"/>
    <col min="4" max="4" width="13.44140625" customWidth="1"/>
    <col min="5" max="5" width="11.109375" customWidth="1"/>
    <col min="6" max="6" width="12" customWidth="1"/>
    <col min="8" max="8" width="12" customWidth="1"/>
    <col min="9" max="9" width="14" customWidth="1"/>
    <col min="10" max="10" width="14.88671875" customWidth="1"/>
    <col min="11" max="11" width="13.44140625" customWidth="1"/>
    <col min="12" max="12" width="13.44140625" bestFit="1" customWidth="1"/>
    <col min="13" max="19" width="13.88671875" customWidth="1"/>
    <col min="20" max="20" width="14.6640625" customWidth="1"/>
    <col min="21" max="21" width="14" customWidth="1"/>
    <col min="22" max="22" width="14.44140625" customWidth="1"/>
    <col min="23" max="23" width="14.33203125" bestFit="1" customWidth="1"/>
    <col min="24" max="24" width="13.6640625" customWidth="1"/>
    <col min="25" max="25" width="15.44140625" customWidth="1"/>
  </cols>
  <sheetData>
    <row r="1" spans="1:25" ht="15.75" customHeight="1" thickBot="1" x14ac:dyDescent="0.35">
      <c r="A1" s="18"/>
      <c r="B1" s="1040" t="s">
        <v>44</v>
      </c>
      <c r="C1" s="1041"/>
      <c r="D1" s="1042"/>
      <c r="E1" s="1040" t="s">
        <v>45</v>
      </c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67"/>
      <c r="R1" s="1067"/>
      <c r="S1" s="1068"/>
      <c r="T1" s="1043" t="s">
        <v>46</v>
      </c>
      <c r="U1" s="1044"/>
      <c r="V1" s="1044"/>
      <c r="W1" s="1044"/>
      <c r="X1" s="1044"/>
      <c r="Y1" s="1045"/>
    </row>
    <row r="2" spans="1:25" x14ac:dyDescent="0.3">
      <c r="A2" s="8"/>
      <c r="B2" s="1043" t="s">
        <v>47</v>
      </c>
      <c r="C2" s="1044"/>
      <c r="D2" s="1045"/>
      <c r="E2" s="1062" t="s">
        <v>48</v>
      </c>
      <c r="F2" s="1063"/>
      <c r="G2" s="1064"/>
      <c r="H2" s="1065" t="s">
        <v>49</v>
      </c>
      <c r="I2" s="1063"/>
      <c r="J2" s="1064"/>
      <c r="K2" s="1065" t="s">
        <v>50</v>
      </c>
      <c r="L2" s="1063"/>
      <c r="M2" s="1064"/>
      <c r="N2" s="1065" t="s">
        <v>181</v>
      </c>
      <c r="O2" s="1063"/>
      <c r="P2" s="1066"/>
      <c r="Q2" s="1065" t="s">
        <v>585</v>
      </c>
      <c r="R2" s="1063"/>
      <c r="S2" s="1066"/>
      <c r="T2" s="1044" t="s">
        <v>17</v>
      </c>
      <c r="U2" s="1044"/>
      <c r="V2" s="1045"/>
      <c r="W2" s="1044" t="s">
        <v>18</v>
      </c>
      <c r="X2" s="1044"/>
      <c r="Y2" s="1045"/>
    </row>
    <row r="3" spans="1:25" ht="18.600000000000001" customHeight="1" thickBot="1" x14ac:dyDescent="0.35">
      <c r="A3" s="19" t="s">
        <v>23</v>
      </c>
      <c r="B3" s="23" t="s">
        <v>215</v>
      </c>
      <c r="C3" s="20" t="s">
        <v>159</v>
      </c>
      <c r="D3" s="24" t="s">
        <v>24</v>
      </c>
      <c r="E3" s="14" t="s">
        <v>215</v>
      </c>
      <c r="F3" s="15" t="s">
        <v>159</v>
      </c>
      <c r="G3" s="22" t="s">
        <v>24</v>
      </c>
      <c r="H3" s="21" t="s">
        <v>215</v>
      </c>
      <c r="I3" s="15" t="s">
        <v>159</v>
      </c>
      <c r="J3" s="22" t="s">
        <v>24</v>
      </c>
      <c r="K3" s="21" t="s">
        <v>215</v>
      </c>
      <c r="L3" s="15" t="s">
        <v>159</v>
      </c>
      <c r="M3" s="22" t="s">
        <v>24</v>
      </c>
      <c r="N3" s="21" t="s">
        <v>215</v>
      </c>
      <c r="O3" s="15" t="s">
        <v>159</v>
      </c>
      <c r="P3" s="16" t="s">
        <v>24</v>
      </c>
      <c r="Q3" s="21" t="s">
        <v>215</v>
      </c>
      <c r="R3" s="15" t="s">
        <v>159</v>
      </c>
      <c r="S3" s="16" t="s">
        <v>24</v>
      </c>
      <c r="T3" s="15" t="s">
        <v>215</v>
      </c>
      <c r="U3" s="15" t="s">
        <v>159</v>
      </c>
      <c r="V3" s="16" t="s">
        <v>24</v>
      </c>
      <c r="W3" s="15" t="s">
        <v>215</v>
      </c>
      <c r="X3" s="15" t="s">
        <v>159</v>
      </c>
      <c r="Y3" s="16" t="s">
        <v>24</v>
      </c>
    </row>
    <row r="4" spans="1:25" x14ac:dyDescent="0.3">
      <c r="A4" s="32" t="s">
        <v>25</v>
      </c>
      <c r="B4" s="27">
        <f>'Parametre - Agendové IS'!D127</f>
        <v>0</v>
      </c>
      <c r="C4" s="27">
        <f>'Parametre - Agendové IS'!E127</f>
        <v>0</v>
      </c>
      <c r="D4" s="29">
        <f>IF(ISERR(C4-B4),"-",C4-B4)</f>
        <v>0</v>
      </c>
      <c r="E4" s="649">
        <v>0</v>
      </c>
      <c r="F4" s="650">
        <v>0</v>
      </c>
      <c r="G4" s="34">
        <f t="shared" ref="G4:G13" si="0">IF(ISERR(F4-E4),"-",F4-E4)</f>
        <v>0</v>
      </c>
      <c r="H4" s="30">
        <v>0</v>
      </c>
      <c r="I4" s="26">
        <f>'Parametre - Agendové IS'!E107</f>
        <v>0</v>
      </c>
      <c r="J4" s="34">
        <f>IF(ISERR(I4-H4),"-",I4-H4)</f>
        <v>0</v>
      </c>
      <c r="K4" s="27">
        <f>'Parametre - Agendové IS'!D147</f>
        <v>0</v>
      </c>
      <c r="L4" s="27">
        <f>'Parametre - Agendové IS'!E147</f>
        <v>0</v>
      </c>
      <c r="M4" s="29">
        <f>IF(ISERR(L4-K4),"-",L4-K4)</f>
        <v>0</v>
      </c>
      <c r="N4" s="26">
        <f>-'Parametre - Agendové IS'!D87</f>
        <v>0</v>
      </c>
      <c r="O4" s="26">
        <f>-'Parametre - Agendové IS'!E87</f>
        <v>0</v>
      </c>
      <c r="P4" s="34">
        <f t="shared" ref="P4:P13" si="1">IF(ISERR(O4-N4),"-",O4-N4)</f>
        <v>0</v>
      </c>
      <c r="Q4" s="26">
        <f>'Parametre - Agendové IS'!G137</f>
        <v>1387880.88</v>
      </c>
      <c r="R4" s="26">
        <f>'Parametre - Agendové IS'!H137</f>
        <v>1387880.88</v>
      </c>
      <c r="S4" s="34">
        <f t="shared" ref="S4:S13" si="2">IF(ISERR(R4-Q4),"-",R4-Q4)</f>
        <v>0</v>
      </c>
      <c r="T4" s="27">
        <f>SUM(B4,E4)</f>
        <v>0</v>
      </c>
      <c r="U4" s="26">
        <f t="shared" ref="U4:U13" si="3">SUM(C4,F4)</f>
        <v>0</v>
      </c>
      <c r="V4" s="29">
        <f>U4-T4</f>
        <v>0</v>
      </c>
      <c r="W4" s="27">
        <f>SUM(H4,K4,N4,Q4)</f>
        <v>1387880.88</v>
      </c>
      <c r="X4" s="26">
        <f>SUM(I4,L4,O4,R4)</f>
        <v>1387880.88</v>
      </c>
      <c r="Y4" s="29">
        <f>X4-W4</f>
        <v>0</v>
      </c>
    </row>
    <row r="5" spans="1:25" x14ac:dyDescent="0.3">
      <c r="A5" s="33" t="s">
        <v>26</v>
      </c>
      <c r="B5" s="27">
        <f>'Parametre - Agendové IS'!D128</f>
        <v>0</v>
      </c>
      <c r="C5" s="27">
        <f>'Parametre - Agendové IS'!E128</f>
        <v>0</v>
      </c>
      <c r="D5" s="29">
        <f t="shared" ref="D5:D13" si="4">IF(ISERR(C5-B5),"-",C5-B5)</f>
        <v>0</v>
      </c>
      <c r="E5" s="649">
        <v>0</v>
      </c>
      <c r="F5" s="650">
        <v>0</v>
      </c>
      <c r="G5" s="29">
        <f t="shared" si="0"/>
        <v>0</v>
      </c>
      <c r="H5" s="30">
        <v>0</v>
      </c>
      <c r="I5" s="26">
        <f>'Parametre - Agendové IS'!E108</f>
        <v>0</v>
      </c>
      <c r="J5" s="130">
        <f>IF(ISERR(I5-H5),"-",I5-H5)</f>
        <v>0</v>
      </c>
      <c r="K5" s="27">
        <f>'Parametre - Agendové IS'!D148</f>
        <v>0</v>
      </c>
      <c r="L5" s="27">
        <f>'Parametre - Agendové IS'!E148</f>
        <v>0</v>
      </c>
      <c r="M5" s="29">
        <f t="shared" ref="M5:M13" si="5">IF(ISERR(L5-K5),"-",L5-K5)</f>
        <v>0</v>
      </c>
      <c r="N5" s="26">
        <f>-'Parametre - Agendové IS'!D88</f>
        <v>0</v>
      </c>
      <c r="O5" s="26">
        <f>-'Parametre - Agendové IS'!E88</f>
        <v>0</v>
      </c>
      <c r="P5" s="29">
        <f t="shared" si="1"/>
        <v>0</v>
      </c>
      <c r="Q5" s="26">
        <f>'Parametre - Agendové IS'!G138</f>
        <v>1387880.88</v>
      </c>
      <c r="R5" s="26">
        <f>'Parametre - Agendové IS'!H138</f>
        <v>1740658.0321845517</v>
      </c>
      <c r="S5" s="29">
        <f t="shared" si="2"/>
        <v>352777.15218455181</v>
      </c>
      <c r="T5" s="27">
        <f t="shared" ref="T5:T13" si="6">SUM(B5,E5)</f>
        <v>0</v>
      </c>
      <c r="U5" s="26">
        <f t="shared" si="3"/>
        <v>0</v>
      </c>
      <c r="V5" s="29">
        <f t="shared" ref="V5:V12" si="7">U5-T5</f>
        <v>0</v>
      </c>
      <c r="W5" s="27">
        <f t="shared" ref="W5:X13" si="8">SUM(H5,K5,N5,Q5)</f>
        <v>1387880.88</v>
      </c>
      <c r="X5" s="26">
        <f t="shared" si="8"/>
        <v>1740658.0321845517</v>
      </c>
      <c r="Y5" s="29">
        <f t="shared" ref="Y5:Y13" si="9">X5-W5</f>
        <v>352777.15218455181</v>
      </c>
    </row>
    <row r="6" spans="1:25" x14ac:dyDescent="0.3">
      <c r="A6" s="33" t="s">
        <v>27</v>
      </c>
      <c r="B6" s="27">
        <f>'Parametre - Agendové IS'!D129</f>
        <v>0</v>
      </c>
      <c r="C6" s="27">
        <f>'Parametre - Agendové IS'!E129</f>
        <v>0</v>
      </c>
      <c r="D6" s="29">
        <f t="shared" si="4"/>
        <v>0</v>
      </c>
      <c r="E6" s="649">
        <v>0</v>
      </c>
      <c r="F6" s="650">
        <v>0</v>
      </c>
      <c r="G6" s="29">
        <f t="shared" si="0"/>
        <v>0</v>
      </c>
      <c r="H6" s="30">
        <v>0</v>
      </c>
      <c r="I6" s="26">
        <f>'Parametre - Agendové IS'!E109</f>
        <v>0</v>
      </c>
      <c r="J6" s="29">
        <f t="shared" ref="J6:J13" si="10">IF(ISERR(I6-H6),"-",I6-H6)</f>
        <v>0</v>
      </c>
      <c r="K6" s="27">
        <f>'Parametre - Agendové IS'!D149</f>
        <v>0</v>
      </c>
      <c r="L6" s="27">
        <f>'Parametre - Agendové IS'!E149</f>
        <v>0</v>
      </c>
      <c r="M6" s="29">
        <f t="shared" si="5"/>
        <v>0</v>
      </c>
      <c r="N6" s="26">
        <f>-'Parametre - Agendové IS'!D89</f>
        <v>0</v>
      </c>
      <c r="O6" s="26">
        <f>-'Parametre - Agendové IS'!E89</f>
        <v>0</v>
      </c>
      <c r="P6" s="29">
        <f t="shared" si="1"/>
        <v>0</v>
      </c>
      <c r="Q6" s="26">
        <f>'Parametre - Agendové IS'!G139</f>
        <v>1387880.88</v>
      </c>
      <c r="R6" s="26">
        <f>'Parametre - Agendové IS'!H139</f>
        <v>1740658.0321845517</v>
      </c>
      <c r="S6" s="29">
        <f t="shared" si="2"/>
        <v>352777.15218455181</v>
      </c>
      <c r="T6" s="27">
        <f t="shared" si="6"/>
        <v>0</v>
      </c>
      <c r="U6" s="26">
        <f t="shared" si="3"/>
        <v>0</v>
      </c>
      <c r="V6" s="29">
        <f t="shared" si="7"/>
        <v>0</v>
      </c>
      <c r="W6" s="27">
        <f t="shared" si="8"/>
        <v>1387880.88</v>
      </c>
      <c r="X6" s="26">
        <f t="shared" si="8"/>
        <v>1740658.0321845517</v>
      </c>
      <c r="Y6" s="29">
        <f t="shared" si="9"/>
        <v>352777.15218455181</v>
      </c>
    </row>
    <row r="7" spans="1:25" x14ac:dyDescent="0.3">
      <c r="A7" s="33" t="s">
        <v>28</v>
      </c>
      <c r="B7" s="27">
        <f>'Parametre - Agendové IS'!D130</f>
        <v>0</v>
      </c>
      <c r="C7" s="27">
        <f>'Parametre - Agendové IS'!E130</f>
        <v>0</v>
      </c>
      <c r="D7" s="29">
        <f t="shared" si="4"/>
        <v>0</v>
      </c>
      <c r="E7" s="649">
        <v>0</v>
      </c>
      <c r="F7" s="650">
        <v>0</v>
      </c>
      <c r="G7" s="29">
        <f t="shared" si="0"/>
        <v>0</v>
      </c>
      <c r="H7" s="30">
        <v>0</v>
      </c>
      <c r="I7" s="26">
        <f>'Parametre - Agendové IS'!E110</f>
        <v>0</v>
      </c>
      <c r="J7" s="29">
        <f t="shared" si="10"/>
        <v>0</v>
      </c>
      <c r="K7" s="27">
        <f>'Parametre - Agendové IS'!D150</f>
        <v>0</v>
      </c>
      <c r="L7" s="27">
        <f>'Parametre - Agendové IS'!E150</f>
        <v>0</v>
      </c>
      <c r="M7" s="29">
        <f t="shared" si="5"/>
        <v>0</v>
      </c>
      <c r="N7" s="26">
        <f>-'Parametre - Agendové IS'!D90</f>
        <v>0</v>
      </c>
      <c r="O7" s="26">
        <f>-'Parametre - Agendové IS'!E90</f>
        <v>0</v>
      </c>
      <c r="P7" s="29">
        <f t="shared" si="1"/>
        <v>0</v>
      </c>
      <c r="Q7" s="26">
        <f>'Parametre - Agendové IS'!G140</f>
        <v>1387880.88</v>
      </c>
      <c r="R7" s="26">
        <f>'Parametre - Agendové IS'!H140</f>
        <v>1740658.0321845517</v>
      </c>
      <c r="S7" s="29">
        <f t="shared" si="2"/>
        <v>352777.15218455181</v>
      </c>
      <c r="T7" s="27">
        <f t="shared" si="6"/>
        <v>0</v>
      </c>
      <c r="U7" s="26">
        <f t="shared" si="3"/>
        <v>0</v>
      </c>
      <c r="V7" s="29">
        <f t="shared" si="7"/>
        <v>0</v>
      </c>
      <c r="W7" s="27">
        <f t="shared" si="8"/>
        <v>1387880.88</v>
      </c>
      <c r="X7" s="26">
        <f t="shared" si="8"/>
        <v>1740658.0321845517</v>
      </c>
      <c r="Y7" s="29">
        <f t="shared" si="9"/>
        <v>352777.15218455181</v>
      </c>
    </row>
    <row r="8" spans="1:25" x14ac:dyDescent="0.3">
      <c r="A8" s="33" t="s">
        <v>29</v>
      </c>
      <c r="B8" s="27">
        <f>'Parametre - Agendové IS'!D131</f>
        <v>0</v>
      </c>
      <c r="C8" s="27">
        <f>'Parametre - Agendové IS'!E131</f>
        <v>0</v>
      </c>
      <c r="D8" s="29">
        <f t="shared" si="4"/>
        <v>0</v>
      </c>
      <c r="E8" s="649">
        <v>0</v>
      </c>
      <c r="F8" s="650">
        <v>0</v>
      </c>
      <c r="G8" s="29">
        <f t="shared" si="0"/>
        <v>0</v>
      </c>
      <c r="H8" s="30">
        <v>0</v>
      </c>
      <c r="I8" s="26">
        <f>'Parametre - Agendové IS'!E111</f>
        <v>0</v>
      </c>
      <c r="J8" s="29">
        <f t="shared" si="10"/>
        <v>0</v>
      </c>
      <c r="K8" s="27">
        <f>'Parametre - Agendové IS'!D151</f>
        <v>0</v>
      </c>
      <c r="L8" s="27">
        <f>'Parametre - Agendové IS'!E151</f>
        <v>0</v>
      </c>
      <c r="M8" s="29">
        <f t="shared" si="5"/>
        <v>0</v>
      </c>
      <c r="N8" s="26">
        <f>-'Parametre - Agendové IS'!D91</f>
        <v>0</v>
      </c>
      <c r="O8" s="26">
        <f>-'Parametre - Agendové IS'!E91</f>
        <v>0</v>
      </c>
      <c r="P8" s="29">
        <f t="shared" si="1"/>
        <v>0</v>
      </c>
      <c r="Q8" s="26">
        <f>'Parametre - Agendové IS'!G141</f>
        <v>1387880.88</v>
      </c>
      <c r="R8" s="26">
        <f>'Parametre - Agendové IS'!H141</f>
        <v>1740658.0321845517</v>
      </c>
      <c r="S8" s="29">
        <f t="shared" si="2"/>
        <v>352777.15218455181</v>
      </c>
      <c r="T8" s="27">
        <f t="shared" si="6"/>
        <v>0</v>
      </c>
      <c r="U8" s="26">
        <f t="shared" si="3"/>
        <v>0</v>
      </c>
      <c r="V8" s="29">
        <f t="shared" si="7"/>
        <v>0</v>
      </c>
      <c r="W8" s="27">
        <f t="shared" si="8"/>
        <v>1387880.88</v>
      </c>
      <c r="X8" s="26">
        <f t="shared" si="8"/>
        <v>1740658.0321845517</v>
      </c>
      <c r="Y8" s="29">
        <f t="shared" si="9"/>
        <v>352777.15218455181</v>
      </c>
    </row>
    <row r="9" spans="1:25" x14ac:dyDescent="0.3">
      <c r="A9" s="33" t="s">
        <v>30</v>
      </c>
      <c r="B9" s="27">
        <f>'Parametre - Agendové IS'!D132</f>
        <v>0</v>
      </c>
      <c r="C9" s="27">
        <f>'Parametre - Agendové IS'!E132</f>
        <v>0</v>
      </c>
      <c r="D9" s="29">
        <f t="shared" si="4"/>
        <v>0</v>
      </c>
      <c r="E9" s="649">
        <v>0</v>
      </c>
      <c r="F9" s="650">
        <v>0</v>
      </c>
      <c r="G9" s="29">
        <f t="shared" si="0"/>
        <v>0</v>
      </c>
      <c r="H9" s="30">
        <v>0</v>
      </c>
      <c r="I9" s="26">
        <f>'Parametre - Agendové IS'!E112</f>
        <v>0</v>
      </c>
      <c r="J9" s="29">
        <f t="shared" si="10"/>
        <v>0</v>
      </c>
      <c r="K9" s="27">
        <f>'Parametre - Agendové IS'!D152</f>
        <v>0</v>
      </c>
      <c r="L9" s="27">
        <f>'Parametre - Agendové IS'!E152</f>
        <v>0</v>
      </c>
      <c r="M9" s="29">
        <f t="shared" si="5"/>
        <v>0</v>
      </c>
      <c r="N9" s="26">
        <f>-'Parametre - Agendové IS'!D92</f>
        <v>0</v>
      </c>
      <c r="O9" s="26">
        <f>-'Parametre - Agendové IS'!E92</f>
        <v>0</v>
      </c>
      <c r="P9" s="29">
        <f t="shared" si="1"/>
        <v>0</v>
      </c>
      <c r="Q9" s="26">
        <f>'Parametre - Agendové IS'!G142</f>
        <v>1387880.88</v>
      </c>
      <c r="R9" s="26">
        <f>'Parametre - Agendové IS'!H142</f>
        <v>1740658.0321845517</v>
      </c>
      <c r="S9" s="29">
        <f t="shared" si="2"/>
        <v>352777.15218455181</v>
      </c>
      <c r="T9" s="27">
        <f t="shared" si="6"/>
        <v>0</v>
      </c>
      <c r="U9" s="26">
        <f t="shared" si="3"/>
        <v>0</v>
      </c>
      <c r="V9" s="29">
        <f t="shared" si="7"/>
        <v>0</v>
      </c>
      <c r="W9" s="27">
        <f t="shared" si="8"/>
        <v>1387880.88</v>
      </c>
      <c r="X9" s="26">
        <f t="shared" si="8"/>
        <v>1740658.0321845517</v>
      </c>
      <c r="Y9" s="29">
        <f t="shared" si="9"/>
        <v>352777.15218455181</v>
      </c>
    </row>
    <row r="10" spans="1:25" x14ac:dyDescent="0.3">
      <c r="A10" s="33" t="s">
        <v>31</v>
      </c>
      <c r="B10" s="27">
        <f>'Parametre - Agendové IS'!D133</f>
        <v>0</v>
      </c>
      <c r="C10" s="27">
        <f>'Parametre - Agendové IS'!E133</f>
        <v>0</v>
      </c>
      <c r="D10" s="29">
        <f t="shared" si="4"/>
        <v>0</v>
      </c>
      <c r="E10" s="649">
        <v>0</v>
      </c>
      <c r="F10" s="650">
        <v>0</v>
      </c>
      <c r="G10" s="29">
        <f t="shared" si="0"/>
        <v>0</v>
      </c>
      <c r="H10" s="30">
        <v>0</v>
      </c>
      <c r="I10" s="26">
        <f>'Parametre - Agendové IS'!E113</f>
        <v>0</v>
      </c>
      <c r="J10" s="29">
        <f t="shared" si="10"/>
        <v>0</v>
      </c>
      <c r="K10" s="27">
        <f>'Parametre - Agendové IS'!D153</f>
        <v>0</v>
      </c>
      <c r="L10" s="27">
        <f>'Parametre - Agendové IS'!E153</f>
        <v>0</v>
      </c>
      <c r="M10" s="29">
        <f t="shared" si="5"/>
        <v>0</v>
      </c>
      <c r="N10" s="26">
        <f>-'Parametre - Agendové IS'!D93</f>
        <v>0</v>
      </c>
      <c r="O10" s="26">
        <f>-'Parametre - Agendové IS'!E93</f>
        <v>0</v>
      </c>
      <c r="P10" s="29">
        <f t="shared" si="1"/>
        <v>0</v>
      </c>
      <c r="Q10" s="26">
        <f>'Parametre - Agendové IS'!G143</f>
        <v>1387880.88</v>
      </c>
      <c r="R10" s="26">
        <f>'Parametre - Agendové IS'!H143</f>
        <v>1740658.0321845517</v>
      </c>
      <c r="S10" s="29">
        <f t="shared" si="2"/>
        <v>352777.15218455181</v>
      </c>
      <c r="T10" s="27">
        <f t="shared" si="6"/>
        <v>0</v>
      </c>
      <c r="U10" s="26">
        <f t="shared" si="3"/>
        <v>0</v>
      </c>
      <c r="V10" s="29">
        <f t="shared" si="7"/>
        <v>0</v>
      </c>
      <c r="W10" s="27">
        <f t="shared" si="8"/>
        <v>1387880.88</v>
      </c>
      <c r="X10" s="26">
        <f t="shared" si="8"/>
        <v>1740658.0321845517</v>
      </c>
      <c r="Y10" s="29">
        <f t="shared" si="9"/>
        <v>352777.15218455181</v>
      </c>
    </row>
    <row r="11" spans="1:25" x14ac:dyDescent="0.3">
      <c r="A11" s="33" t="s">
        <v>32</v>
      </c>
      <c r="B11" s="27">
        <f>'Parametre - Agendové IS'!D134</f>
        <v>0</v>
      </c>
      <c r="C11" s="27">
        <f>'Parametre - Agendové IS'!E134</f>
        <v>0</v>
      </c>
      <c r="D11" s="29">
        <f t="shared" si="4"/>
        <v>0</v>
      </c>
      <c r="E11" s="649">
        <v>0</v>
      </c>
      <c r="F11" s="650">
        <v>0</v>
      </c>
      <c r="G11" s="29">
        <f t="shared" si="0"/>
        <v>0</v>
      </c>
      <c r="H11" s="30">
        <v>0</v>
      </c>
      <c r="I11" s="26">
        <f>'Parametre - Agendové IS'!E114</f>
        <v>0</v>
      </c>
      <c r="J11" s="29">
        <f t="shared" si="10"/>
        <v>0</v>
      </c>
      <c r="K11" s="27">
        <f>'Parametre - Agendové IS'!D154</f>
        <v>0</v>
      </c>
      <c r="L11" s="27">
        <f>'Parametre - Agendové IS'!E154</f>
        <v>0</v>
      </c>
      <c r="M11" s="29">
        <f t="shared" si="5"/>
        <v>0</v>
      </c>
      <c r="N11" s="26">
        <f>-'Parametre - Agendové IS'!D94</f>
        <v>0</v>
      </c>
      <c r="O11" s="26">
        <f>-'Parametre - Agendové IS'!E94</f>
        <v>0</v>
      </c>
      <c r="P11" s="29">
        <f t="shared" si="1"/>
        <v>0</v>
      </c>
      <c r="Q11" s="26">
        <f>'Parametre - Agendové IS'!G144</f>
        <v>1387880.88</v>
      </c>
      <c r="R11" s="26">
        <f>'Parametre - Agendové IS'!H144</f>
        <v>1740658.0321845517</v>
      </c>
      <c r="S11" s="29">
        <f t="shared" si="2"/>
        <v>352777.15218455181</v>
      </c>
      <c r="T11" s="27">
        <f t="shared" si="6"/>
        <v>0</v>
      </c>
      <c r="U11" s="26">
        <f t="shared" si="3"/>
        <v>0</v>
      </c>
      <c r="V11" s="29">
        <f t="shared" si="7"/>
        <v>0</v>
      </c>
      <c r="W11" s="27">
        <f t="shared" si="8"/>
        <v>1387880.88</v>
      </c>
      <c r="X11" s="26">
        <f t="shared" si="8"/>
        <v>1740658.0321845517</v>
      </c>
      <c r="Y11" s="29">
        <f t="shared" si="9"/>
        <v>352777.15218455181</v>
      </c>
    </row>
    <row r="12" spans="1:25" x14ac:dyDescent="0.3">
      <c r="A12" s="33" t="s">
        <v>33</v>
      </c>
      <c r="B12" s="27">
        <f>'Parametre - Agendové IS'!D135</f>
        <v>0</v>
      </c>
      <c r="C12" s="27">
        <f>'Parametre - Agendové IS'!E135</f>
        <v>0</v>
      </c>
      <c r="D12" s="29">
        <f t="shared" si="4"/>
        <v>0</v>
      </c>
      <c r="E12" s="649">
        <v>0</v>
      </c>
      <c r="F12" s="650">
        <v>0</v>
      </c>
      <c r="G12" s="29">
        <f t="shared" si="0"/>
        <v>0</v>
      </c>
      <c r="H12" s="30">
        <v>0</v>
      </c>
      <c r="I12" s="26">
        <f>'Parametre - Agendové IS'!E115</f>
        <v>0</v>
      </c>
      <c r="J12" s="29">
        <f t="shared" si="10"/>
        <v>0</v>
      </c>
      <c r="K12" s="27">
        <f>'Parametre - Agendové IS'!D155</f>
        <v>0</v>
      </c>
      <c r="L12" s="27">
        <f>'Parametre - Agendové IS'!E155</f>
        <v>0</v>
      </c>
      <c r="M12" s="29">
        <f t="shared" si="5"/>
        <v>0</v>
      </c>
      <c r="N12" s="26">
        <f>-'Parametre - Agendové IS'!D95</f>
        <v>0</v>
      </c>
      <c r="O12" s="26">
        <f>-'Parametre - Agendové IS'!E95</f>
        <v>0</v>
      </c>
      <c r="P12" s="29">
        <f t="shared" si="1"/>
        <v>0</v>
      </c>
      <c r="Q12" s="26">
        <f>'Parametre - Agendové IS'!G145</f>
        <v>1387880.88</v>
      </c>
      <c r="R12" s="26">
        <f>'Parametre - Agendové IS'!H145</f>
        <v>1740658.0321845517</v>
      </c>
      <c r="S12" s="29">
        <f t="shared" si="2"/>
        <v>352777.15218455181</v>
      </c>
      <c r="T12" s="27">
        <f t="shared" si="6"/>
        <v>0</v>
      </c>
      <c r="U12" s="26">
        <f t="shared" si="3"/>
        <v>0</v>
      </c>
      <c r="V12" s="29">
        <f t="shared" si="7"/>
        <v>0</v>
      </c>
      <c r="W12" s="27">
        <f t="shared" si="8"/>
        <v>1387880.88</v>
      </c>
      <c r="X12" s="26">
        <f t="shared" si="8"/>
        <v>1740658.0321845517</v>
      </c>
      <c r="Y12" s="29">
        <f t="shared" si="9"/>
        <v>352777.15218455181</v>
      </c>
    </row>
    <row r="13" spans="1:25" ht="15.6" customHeight="1" thickBot="1" x14ac:dyDescent="0.35">
      <c r="A13" s="33" t="s">
        <v>34</v>
      </c>
      <c r="B13" s="47">
        <f>'Parametre - Agendové IS'!D136</f>
        <v>0</v>
      </c>
      <c r="C13" s="47">
        <f>'Parametre - Agendové IS'!E136</f>
        <v>0</v>
      </c>
      <c r="D13" s="151">
        <f t="shared" si="4"/>
        <v>0</v>
      </c>
      <c r="E13" s="651">
        <v>0</v>
      </c>
      <c r="F13" s="652">
        <v>0</v>
      </c>
      <c r="G13" s="151">
        <f t="shared" si="0"/>
        <v>0</v>
      </c>
      <c r="H13" s="30">
        <v>0</v>
      </c>
      <c r="I13" s="43">
        <f>'Parametre - Agendové IS'!E116</f>
        <v>0</v>
      </c>
      <c r="J13" s="151">
        <f t="shared" si="10"/>
        <v>0</v>
      </c>
      <c r="K13" s="47">
        <f>'Parametre - Agendové IS'!D156</f>
        <v>0</v>
      </c>
      <c r="L13" s="47">
        <f>'Parametre - Agendové IS'!E156</f>
        <v>0</v>
      </c>
      <c r="M13" s="151">
        <f t="shared" si="5"/>
        <v>0</v>
      </c>
      <c r="N13" s="43">
        <f>-'Parametre - Agendové IS'!D96</f>
        <v>0</v>
      </c>
      <c r="O13" s="43">
        <f>-'Parametre - Agendové IS'!E96</f>
        <v>0</v>
      </c>
      <c r="P13" s="43">
        <f t="shared" si="1"/>
        <v>0</v>
      </c>
      <c r="Q13" s="43">
        <f>'Parametre - Agendové IS'!G146</f>
        <v>1387880.88</v>
      </c>
      <c r="R13" s="43">
        <f>'Parametre - Agendové IS'!H146</f>
        <v>1740658.0321845517</v>
      </c>
      <c r="S13" s="43">
        <f t="shared" si="2"/>
        <v>352777.15218455181</v>
      </c>
      <c r="T13" s="154">
        <f t="shared" si="6"/>
        <v>0</v>
      </c>
      <c r="U13" s="43">
        <f t="shared" si="3"/>
        <v>0</v>
      </c>
      <c r="V13" s="151">
        <f>U13-T13</f>
        <v>0</v>
      </c>
      <c r="W13" s="47">
        <f t="shared" si="8"/>
        <v>1387880.88</v>
      </c>
      <c r="X13" s="43">
        <f t="shared" si="8"/>
        <v>1740658.0321845517</v>
      </c>
      <c r="Y13" s="151">
        <f t="shared" si="9"/>
        <v>352777.15218455181</v>
      </c>
    </row>
    <row r="14" spans="1:25" x14ac:dyDescent="0.3">
      <c r="A14" s="155" t="s">
        <v>103</v>
      </c>
      <c r="B14" s="486">
        <f>SUM(B4:B13)</f>
        <v>0</v>
      </c>
      <c r="C14" s="486">
        <f t="shared" ref="C14:P14" si="11">SUM(C4:C13)</f>
        <v>0</v>
      </c>
      <c r="D14" s="487">
        <f t="shared" si="11"/>
        <v>0</v>
      </c>
      <c r="E14" s="486">
        <f t="shared" si="11"/>
        <v>0</v>
      </c>
      <c r="F14" s="488">
        <f t="shared" si="11"/>
        <v>0</v>
      </c>
      <c r="G14" s="487">
        <f t="shared" si="11"/>
        <v>0</v>
      </c>
      <c r="H14" s="486">
        <f t="shared" si="11"/>
        <v>0</v>
      </c>
      <c r="I14" s="488">
        <f t="shared" si="11"/>
        <v>0</v>
      </c>
      <c r="J14" s="487">
        <f t="shared" si="11"/>
        <v>0</v>
      </c>
      <c r="K14" s="486">
        <f t="shared" si="11"/>
        <v>0</v>
      </c>
      <c r="L14" s="486">
        <f t="shared" si="11"/>
        <v>0</v>
      </c>
      <c r="M14" s="487">
        <f t="shared" si="11"/>
        <v>0</v>
      </c>
      <c r="N14" s="488">
        <f t="shared" si="11"/>
        <v>0</v>
      </c>
      <c r="O14" s="488">
        <f t="shared" si="11"/>
        <v>0</v>
      </c>
      <c r="P14" s="489">
        <f t="shared" si="11"/>
        <v>0</v>
      </c>
      <c r="Q14" s="488">
        <f t="shared" ref="Q14:S14" si="12">SUM(Q4:Q13)</f>
        <v>13878808.799999997</v>
      </c>
      <c r="R14" s="488">
        <f t="shared" si="12"/>
        <v>17053803.169660967</v>
      </c>
      <c r="S14" s="489">
        <f t="shared" si="12"/>
        <v>3174994.3696609661</v>
      </c>
      <c r="T14" s="490">
        <f t="shared" ref="T14:Y14" si="13">SUM(T4:T13)</f>
        <v>0</v>
      </c>
      <c r="U14" s="488">
        <f t="shared" si="13"/>
        <v>0</v>
      </c>
      <c r="V14" s="491">
        <f t="shared" si="13"/>
        <v>0</v>
      </c>
      <c r="W14" s="490">
        <f t="shared" si="13"/>
        <v>13878808.799999997</v>
      </c>
      <c r="X14" s="488">
        <f t="shared" si="13"/>
        <v>17053803.169660967</v>
      </c>
      <c r="Y14" s="492">
        <f t="shared" si="13"/>
        <v>3174994.3696609661</v>
      </c>
    </row>
    <row r="15" spans="1:25" ht="15" thickBot="1" x14ac:dyDescent="0.35">
      <c r="A15" s="156" t="s">
        <v>154</v>
      </c>
      <c r="B15" s="493"/>
      <c r="C15" s="493"/>
      <c r="D15" s="494">
        <f>D4+NPV(Faktory!$D$5,'Prínosy - Agendové IS'!D5:D13)</f>
        <v>0</v>
      </c>
      <c r="E15" s="495"/>
      <c r="F15" s="496"/>
      <c r="G15" s="494">
        <f>G4+NPV(Faktory!$D$3,'Prínosy - Agendové IS'!G5:G13)</f>
        <v>0</v>
      </c>
      <c r="H15" s="495"/>
      <c r="I15" s="496"/>
      <c r="J15" s="494">
        <f>J4+NPV(Faktory!$D$5,'Prínosy - Agendové IS'!J5:J13)</f>
        <v>0</v>
      </c>
      <c r="K15" s="493"/>
      <c r="L15" s="493"/>
      <c r="M15" s="494">
        <f>M4+NPV(Faktory!$D$5,'Prínosy - Agendové IS'!M5:M13)</f>
        <v>0</v>
      </c>
      <c r="N15" s="496"/>
      <c r="O15" s="496"/>
      <c r="P15" s="497">
        <f>P4+NPV(Faktory!$D$5,'Prínosy - Agendové IS'!P5:P13)</f>
        <v>0</v>
      </c>
      <c r="Q15" s="496"/>
      <c r="R15" s="496"/>
      <c r="S15" s="497">
        <f>S4+NPV(Faktory!$D$5,'Prínosy - Agendové IS'!S5:S13)</f>
        <v>2507477.0889693373</v>
      </c>
      <c r="T15" s="498"/>
      <c r="U15" s="496"/>
      <c r="V15" s="494">
        <f>V4+NPV(Faktory!$D$5,'Prínosy - Agendové IS'!V5:V13)</f>
        <v>0</v>
      </c>
      <c r="W15" s="498"/>
      <c r="X15" s="496"/>
      <c r="Y15" s="494">
        <f>Y4+NPV(Faktory!$D$5,'Prínosy - Agendové IS'!Y5:Y13)</f>
        <v>2507477.0889693373</v>
      </c>
    </row>
    <row r="17" spans="2:2" x14ac:dyDescent="0.3">
      <c r="B17" s="105" t="s">
        <v>162</v>
      </c>
    </row>
    <row r="19" spans="2:2" x14ac:dyDescent="0.3">
      <c r="B19" t="s">
        <v>594</v>
      </c>
    </row>
    <row r="38" spans="15:18" x14ac:dyDescent="0.3">
      <c r="O38" s="153"/>
      <c r="R38" s="153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1">
    <mergeCell ref="B1:D1"/>
    <mergeCell ref="T1:Y1"/>
    <mergeCell ref="B2:D2"/>
    <mergeCell ref="E2:G2"/>
    <mergeCell ref="H2:J2"/>
    <mergeCell ref="K2:M2"/>
    <mergeCell ref="T2:V2"/>
    <mergeCell ref="W2:Y2"/>
    <mergeCell ref="N2:P2"/>
    <mergeCell ref="Q2:S2"/>
    <mergeCell ref="E1:S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topLeftCell="E1" zoomScale="70" zoomScaleNormal="70" workbookViewId="0">
      <pane ySplit="3" topLeftCell="A4" activePane="bottomLeft" state="frozen"/>
      <selection activeCell="B1" sqref="B1"/>
      <selection pane="bottomLeft" activeCell="V14" sqref="V14"/>
    </sheetView>
  </sheetViews>
  <sheetFormatPr defaultColWidth="8.88671875" defaultRowHeight="14.4" x14ac:dyDescent="0.3"/>
  <cols>
    <col min="2" max="2" width="14.33203125" customWidth="1"/>
    <col min="3" max="3" width="15.88671875" bestFit="1" customWidth="1"/>
    <col min="4" max="4" width="16.6640625" bestFit="1" customWidth="1"/>
    <col min="5" max="6" width="13.44140625" bestFit="1" customWidth="1"/>
    <col min="7" max="7" width="16.6640625" bestFit="1" customWidth="1"/>
    <col min="8" max="8" width="14.44140625" bestFit="1" customWidth="1"/>
    <col min="9" max="9" width="13.44140625" bestFit="1" customWidth="1"/>
    <col min="10" max="10" width="16.6640625" bestFit="1" customWidth="1"/>
    <col min="11" max="16" width="16.6640625" customWidth="1"/>
    <col min="17" max="17" width="13.44140625" bestFit="1" customWidth="1"/>
    <col min="18" max="18" width="15.8867187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 x14ac:dyDescent="0.35">
      <c r="A1" s="37"/>
      <c r="B1" s="1070" t="s">
        <v>175</v>
      </c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2"/>
      <c r="N1" s="1070" t="s">
        <v>276</v>
      </c>
      <c r="O1" s="1071"/>
      <c r="P1" s="1072"/>
      <c r="Q1" s="1069" t="s">
        <v>69</v>
      </c>
      <c r="R1" s="1069"/>
      <c r="S1" s="1069"/>
      <c r="T1" s="1040" t="s">
        <v>70</v>
      </c>
      <c r="U1" s="1041"/>
      <c r="V1" s="1042"/>
    </row>
    <row r="2" spans="1:23" ht="15.75" customHeight="1" thickBot="1" x14ac:dyDescent="0.35">
      <c r="A2" s="8"/>
      <c r="B2" s="1041" t="s">
        <v>66</v>
      </c>
      <c r="C2" s="1041"/>
      <c r="D2" s="1042"/>
      <c r="E2" s="1041" t="s">
        <v>67</v>
      </c>
      <c r="F2" s="1041"/>
      <c r="G2" s="1042"/>
      <c r="H2" s="1041" t="s">
        <v>105</v>
      </c>
      <c r="I2" s="1041"/>
      <c r="J2" s="1042"/>
      <c r="K2" s="1041" t="s">
        <v>307</v>
      </c>
      <c r="L2" s="1041"/>
      <c r="M2" s="1042"/>
      <c r="N2" s="1041"/>
      <c r="O2" s="1041"/>
      <c r="P2" s="1042"/>
      <c r="Q2" s="1041" t="s">
        <v>68</v>
      </c>
      <c r="R2" s="1041"/>
      <c r="S2" s="1042"/>
      <c r="T2" s="8"/>
      <c r="U2" s="8"/>
      <c r="V2" s="38"/>
    </row>
    <row r="3" spans="1:23" ht="19.350000000000001" customHeight="1" thickBot="1" x14ac:dyDescent="0.35">
      <c r="A3" s="40" t="s">
        <v>23</v>
      </c>
      <c r="B3" s="41" t="s">
        <v>215</v>
      </c>
      <c r="C3" s="41" t="s">
        <v>159</v>
      </c>
      <c r="D3" s="42" t="s">
        <v>24</v>
      </c>
      <c r="E3" s="41" t="s">
        <v>215</v>
      </c>
      <c r="F3" s="41" t="s">
        <v>159</v>
      </c>
      <c r="G3" s="42" t="s">
        <v>24</v>
      </c>
      <c r="H3" s="41" t="s">
        <v>215</v>
      </c>
      <c r="I3" s="41" t="s">
        <v>159</v>
      </c>
      <c r="J3" s="42" t="s">
        <v>24</v>
      </c>
      <c r="K3" s="41" t="s">
        <v>215</v>
      </c>
      <c r="L3" s="41" t="s">
        <v>159</v>
      </c>
      <c r="M3" s="42" t="s">
        <v>24</v>
      </c>
      <c r="N3" s="41" t="s">
        <v>215</v>
      </c>
      <c r="O3" s="41" t="s">
        <v>159</v>
      </c>
      <c r="P3" s="42" t="s">
        <v>24</v>
      </c>
      <c r="Q3" s="41" t="s">
        <v>215</v>
      </c>
      <c r="R3" s="41" t="s">
        <v>159</v>
      </c>
      <c r="S3" s="42" t="s">
        <v>24</v>
      </c>
      <c r="T3" s="41" t="s">
        <v>215</v>
      </c>
      <c r="U3" s="41" t="s">
        <v>159</v>
      </c>
      <c r="V3" s="42" t="s">
        <v>24</v>
      </c>
    </row>
    <row r="4" spans="1:23" x14ac:dyDescent="0.3">
      <c r="A4" s="25" t="s">
        <v>25</v>
      </c>
      <c r="B4" s="26">
        <f>TCO!D26+TCO!D27</f>
        <v>0</v>
      </c>
      <c r="C4" s="26">
        <f>(TCO!D$12*(1+$W$5))+TCO!D$13</f>
        <v>63200</v>
      </c>
      <c r="D4" s="34">
        <f>C4-B4</f>
        <v>63200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31564.799999999999</v>
      </c>
      <c r="I4" s="26">
        <f>(TCO!D$9*(1+$W$5))+TCO!D$10</f>
        <v>1663200</v>
      </c>
      <c r="J4" s="34">
        <f>I4-H4</f>
        <v>1631635.2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175152</v>
      </c>
      <c r="P4" s="34">
        <f>O4-N4</f>
        <v>175152</v>
      </c>
      <c r="Q4" s="27">
        <f>'Parametre - Agendové IS'!D117</f>
        <v>0</v>
      </c>
      <c r="R4" s="27">
        <f>'Parametre - Agendové IS'!E117</f>
        <v>0</v>
      </c>
      <c r="S4" s="34">
        <f t="shared" ref="S4:S13" si="0">IF(ISERR(R4-Q4),"-",R4-Q4)</f>
        <v>0</v>
      </c>
      <c r="T4" s="26">
        <f>SUM(B4,E4,H4,K4,N4,Q4)</f>
        <v>31564.799999999999</v>
      </c>
      <c r="U4" s="26">
        <f>((C4+F4+L4+O4+I4)*(1+$W$4))+R4</f>
        <v>1901552</v>
      </c>
      <c r="V4" s="34">
        <f>U4-T4</f>
        <v>1869987.2</v>
      </c>
      <c r="W4" s="195">
        <f>'Analyza citlivosti - AgendovéIS'!B7</f>
        <v>0</v>
      </c>
    </row>
    <row r="5" spans="1:23" x14ac:dyDescent="0.3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31564.799999999999</v>
      </c>
      <c r="I5" s="26">
        <f>(TCO!E$9*(1+$W$5))+TCO!E$10</f>
        <v>182400</v>
      </c>
      <c r="J5" s="29">
        <f t="shared" ref="J5:J13" si="3">I5-H5</f>
        <v>150835.20000000001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0</v>
      </c>
      <c r="P5" s="29">
        <f t="shared" ref="P5:P13" si="5">O5-N5</f>
        <v>0</v>
      </c>
      <c r="Q5" s="27">
        <f>'Parametre - Agendové IS'!D118</f>
        <v>0</v>
      </c>
      <c r="R5" s="27">
        <f>'Parametre - Agendové IS'!E118</f>
        <v>0</v>
      </c>
      <c r="S5" s="29">
        <f t="shared" si="0"/>
        <v>0</v>
      </c>
      <c r="T5" s="26">
        <f t="shared" ref="T5:T13" si="6">SUM(B5,E5,H5,K5,N5,Q5)</f>
        <v>31564.799999999999</v>
      </c>
      <c r="U5" s="26">
        <f t="shared" ref="U5:U13" si="7">((C5+F5+L5+O5+I5)*(1+$W$4))+R5</f>
        <v>182400</v>
      </c>
      <c r="V5" s="29">
        <f t="shared" ref="V5:V13" si="8">U5-T5</f>
        <v>150835.20000000001</v>
      </c>
      <c r="W5" s="195">
        <f>'Analyza citlivosti - AgendovéIS'!E7</f>
        <v>0</v>
      </c>
    </row>
    <row r="6" spans="1:23" x14ac:dyDescent="0.3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31564.799999999999</v>
      </c>
      <c r="I6" s="26">
        <f>(TCO!F$9*(1+$W$5))+TCO!F$10</f>
        <v>182400</v>
      </c>
      <c r="J6" s="29">
        <f t="shared" si="3"/>
        <v>150835.20000000001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IS'!D119</f>
        <v>0</v>
      </c>
      <c r="R6" s="27">
        <f>'Parametre - Agendové IS'!E119</f>
        <v>0</v>
      </c>
      <c r="S6" s="29">
        <f t="shared" si="0"/>
        <v>0</v>
      </c>
      <c r="T6" s="26">
        <f t="shared" si="6"/>
        <v>31564.799999999999</v>
      </c>
      <c r="U6" s="26">
        <f t="shared" si="7"/>
        <v>182400</v>
      </c>
      <c r="V6" s="29">
        <f t="shared" si="8"/>
        <v>150835.20000000001</v>
      </c>
    </row>
    <row r="7" spans="1:23" x14ac:dyDescent="0.3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31564.799999999999</v>
      </c>
      <c r="I7" s="26">
        <f>(TCO!G$9*(1+$W$5))+TCO!G$10</f>
        <v>182400</v>
      </c>
      <c r="J7" s="29">
        <f t="shared" si="3"/>
        <v>150835.20000000001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IS'!D120</f>
        <v>0</v>
      </c>
      <c r="R7" s="27">
        <f>'Parametre - Agendové IS'!E120</f>
        <v>0</v>
      </c>
      <c r="S7" s="29">
        <f t="shared" si="0"/>
        <v>0</v>
      </c>
      <c r="T7" s="26">
        <f t="shared" si="6"/>
        <v>31564.799999999999</v>
      </c>
      <c r="U7" s="26">
        <f t="shared" si="7"/>
        <v>182400</v>
      </c>
      <c r="V7" s="29">
        <f t="shared" si="8"/>
        <v>150835.20000000001</v>
      </c>
    </row>
    <row r="8" spans="1:23" x14ac:dyDescent="0.3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31564.799999999999</v>
      </c>
      <c r="I8" s="26">
        <f>(TCO!H$9*(1+$W$5))+TCO!H$10</f>
        <v>182400</v>
      </c>
      <c r="J8" s="29">
        <f t="shared" si="3"/>
        <v>150835.20000000001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IS'!D121</f>
        <v>0</v>
      </c>
      <c r="R8" s="27">
        <f>'Parametre - Agendové IS'!E121</f>
        <v>0</v>
      </c>
      <c r="S8" s="29">
        <f t="shared" si="0"/>
        <v>0</v>
      </c>
      <c r="T8" s="26">
        <f t="shared" si="6"/>
        <v>31564.799999999999</v>
      </c>
      <c r="U8" s="26">
        <f t="shared" si="7"/>
        <v>182400</v>
      </c>
      <c r="V8" s="29">
        <f t="shared" si="8"/>
        <v>150835.20000000001</v>
      </c>
    </row>
    <row r="9" spans="1:23" x14ac:dyDescent="0.3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31564.799999999999</v>
      </c>
      <c r="I9" s="26">
        <f>(TCO!I$9*(1+$W$5))+TCO!I$10</f>
        <v>182400</v>
      </c>
      <c r="J9" s="29">
        <f t="shared" si="3"/>
        <v>150835.20000000001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IS'!D122</f>
        <v>0</v>
      </c>
      <c r="R9" s="27">
        <f>'Parametre - Agendové IS'!E122</f>
        <v>0</v>
      </c>
      <c r="S9" s="29">
        <f t="shared" si="0"/>
        <v>0</v>
      </c>
      <c r="T9" s="26">
        <f t="shared" si="6"/>
        <v>31564.799999999999</v>
      </c>
      <c r="U9" s="26">
        <f t="shared" si="7"/>
        <v>182400</v>
      </c>
      <c r="V9" s="29">
        <f t="shared" si="8"/>
        <v>150835.20000000001</v>
      </c>
    </row>
    <row r="10" spans="1:23" x14ac:dyDescent="0.3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31564.799999999999</v>
      </c>
      <c r="I10" s="26">
        <f>(TCO!J$9*(1+$W$5))+TCO!J$10</f>
        <v>182400</v>
      </c>
      <c r="J10" s="29">
        <f t="shared" si="3"/>
        <v>150835.20000000001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IS'!D123</f>
        <v>0</v>
      </c>
      <c r="R10" s="27">
        <f>'Parametre - Agendové IS'!E123</f>
        <v>0</v>
      </c>
      <c r="S10" s="29">
        <f t="shared" si="0"/>
        <v>0</v>
      </c>
      <c r="T10" s="26">
        <f t="shared" si="6"/>
        <v>31564.799999999999</v>
      </c>
      <c r="U10" s="26">
        <f t="shared" si="7"/>
        <v>182400</v>
      </c>
      <c r="V10" s="29">
        <f t="shared" si="8"/>
        <v>150835.20000000001</v>
      </c>
    </row>
    <row r="11" spans="1:23" x14ac:dyDescent="0.3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31564.799999999999</v>
      </c>
      <c r="I11" s="26">
        <f>(TCO!K$9*(1+$W$5))+TCO!K$10</f>
        <v>182400</v>
      </c>
      <c r="J11" s="29">
        <f t="shared" si="3"/>
        <v>150835.20000000001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IS'!D124</f>
        <v>0</v>
      </c>
      <c r="R11" s="27">
        <f>'Parametre - Agendové IS'!E124</f>
        <v>0</v>
      </c>
      <c r="S11" s="29">
        <f t="shared" si="0"/>
        <v>0</v>
      </c>
      <c r="T11" s="26">
        <f t="shared" si="6"/>
        <v>31564.799999999999</v>
      </c>
      <c r="U11" s="26">
        <f t="shared" si="7"/>
        <v>182400</v>
      </c>
      <c r="V11" s="29">
        <f t="shared" si="8"/>
        <v>150835.20000000001</v>
      </c>
    </row>
    <row r="12" spans="1:23" x14ac:dyDescent="0.3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31564.799999999999</v>
      </c>
      <c r="I12" s="26">
        <f>(TCO!L$9*(1+$W$5))+TCO!L$10</f>
        <v>182400</v>
      </c>
      <c r="J12" s="29">
        <f t="shared" si="3"/>
        <v>150835.20000000001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IS'!D125</f>
        <v>0</v>
      </c>
      <c r="R12" s="27">
        <f>'Parametre - Agendové IS'!E125</f>
        <v>0</v>
      </c>
      <c r="S12" s="29">
        <f t="shared" si="0"/>
        <v>0</v>
      </c>
      <c r="T12" s="26">
        <f t="shared" si="6"/>
        <v>31564.799999999999</v>
      </c>
      <c r="U12" s="26">
        <f t="shared" si="7"/>
        <v>182400</v>
      </c>
      <c r="V12" s="29">
        <f t="shared" si="8"/>
        <v>150835.20000000001</v>
      </c>
    </row>
    <row r="13" spans="1:23" ht="15" thickBot="1" x14ac:dyDescent="0.35">
      <c r="A13" s="39" t="s">
        <v>34</v>
      </c>
      <c r="B13" s="43">
        <f>TCO!M26+TCO!M27</f>
        <v>0</v>
      </c>
      <c r="C13" s="43">
        <f>(TCO!M$12*(1+$W$5))+TCO!M$13</f>
        <v>0</v>
      </c>
      <c r="D13" s="151">
        <f t="shared" si="1"/>
        <v>0</v>
      </c>
      <c r="E13" s="47">
        <f>TCO!M22+TCO!M23</f>
        <v>0</v>
      </c>
      <c r="F13" s="43">
        <f>(TCO!M$7*(1+$W$5))+TCO!M$8</f>
        <v>0</v>
      </c>
      <c r="G13" s="151">
        <f t="shared" si="2"/>
        <v>0</v>
      </c>
      <c r="H13" s="43">
        <f>TCO!M24+TCO!M25</f>
        <v>31564.799999999999</v>
      </c>
      <c r="I13" s="43">
        <f>(TCO!M$9*(1+$W$5))+TCO!M$10</f>
        <v>182400</v>
      </c>
      <c r="J13" s="151">
        <f t="shared" si="3"/>
        <v>150835.20000000001</v>
      </c>
      <c r="K13" s="47">
        <v>0</v>
      </c>
      <c r="L13" s="47">
        <f>TCO!M11</f>
        <v>0</v>
      </c>
      <c r="M13" s="151">
        <f t="shared" si="4"/>
        <v>0</v>
      </c>
      <c r="N13" s="47">
        <v>0</v>
      </c>
      <c r="O13" s="47">
        <f>TCO!M14</f>
        <v>0</v>
      </c>
      <c r="P13" s="151">
        <f t="shared" si="5"/>
        <v>0</v>
      </c>
      <c r="Q13" s="47">
        <f>'Parametre - Agendové IS'!D126</f>
        <v>0</v>
      </c>
      <c r="R13" s="47">
        <f>'Parametre - Agendové IS'!E126</f>
        <v>0</v>
      </c>
      <c r="S13" s="151">
        <f t="shared" si="0"/>
        <v>0</v>
      </c>
      <c r="T13" s="26">
        <f t="shared" si="6"/>
        <v>31564.799999999999</v>
      </c>
      <c r="U13" s="26">
        <f t="shared" si="7"/>
        <v>182400</v>
      </c>
      <c r="V13" s="151">
        <f t="shared" si="8"/>
        <v>150835.20000000001</v>
      </c>
    </row>
    <row r="14" spans="1:23" x14ac:dyDescent="0.3">
      <c r="A14" s="499" t="s">
        <v>103</v>
      </c>
      <c r="B14" s="490">
        <f>SUM(B4:B13)</f>
        <v>0</v>
      </c>
      <c r="C14" s="488">
        <f t="shared" ref="C14:S14" si="9">SUM(C4:C13)</f>
        <v>63200</v>
      </c>
      <c r="D14" s="487">
        <f t="shared" si="9"/>
        <v>63200</v>
      </c>
      <c r="E14" s="490">
        <f t="shared" si="9"/>
        <v>0</v>
      </c>
      <c r="F14" s="488">
        <f t="shared" si="9"/>
        <v>0</v>
      </c>
      <c r="G14" s="487">
        <f t="shared" si="9"/>
        <v>0</v>
      </c>
      <c r="H14" s="490">
        <f t="shared" si="9"/>
        <v>315647.99999999994</v>
      </c>
      <c r="I14" s="488">
        <f t="shared" si="9"/>
        <v>3304800</v>
      </c>
      <c r="J14" s="487">
        <f t="shared" si="9"/>
        <v>2989152.0000000009</v>
      </c>
      <c r="K14" s="490">
        <f t="shared" ref="K14:P14" si="10">SUM(K4:K13)</f>
        <v>0</v>
      </c>
      <c r="L14" s="488">
        <f t="shared" si="10"/>
        <v>0</v>
      </c>
      <c r="M14" s="487">
        <f t="shared" si="10"/>
        <v>0</v>
      </c>
      <c r="N14" s="490">
        <f t="shared" si="10"/>
        <v>0</v>
      </c>
      <c r="O14" s="488">
        <f t="shared" si="10"/>
        <v>175152</v>
      </c>
      <c r="P14" s="487">
        <f t="shared" si="10"/>
        <v>175152</v>
      </c>
      <c r="Q14" s="490">
        <f t="shared" si="9"/>
        <v>0</v>
      </c>
      <c r="R14" s="488">
        <f t="shared" si="9"/>
        <v>0</v>
      </c>
      <c r="S14" s="487">
        <f t="shared" si="9"/>
        <v>0</v>
      </c>
      <c r="T14" s="500">
        <f>SUM(T4:T13)</f>
        <v>315647.99999999994</v>
      </c>
      <c r="U14" s="501">
        <f>SUM(U4:U13)</f>
        <v>3543152</v>
      </c>
      <c r="V14" s="502">
        <f>SUM(V4:V13)</f>
        <v>3227504.0000000014</v>
      </c>
    </row>
    <row r="15" spans="1:23" ht="15" thickBot="1" x14ac:dyDescent="0.35">
      <c r="A15" s="499" t="s">
        <v>154</v>
      </c>
      <c r="B15" s="498"/>
      <c r="C15" s="496"/>
      <c r="D15" s="494">
        <f>D4+NPV(Faktory!$D$5,D5:D13)</f>
        <v>63200</v>
      </c>
      <c r="E15" s="498"/>
      <c r="F15" s="496"/>
      <c r="G15" s="494">
        <f>G4+NPV(Faktory!$D$5,G5:G13)</f>
        <v>0</v>
      </c>
      <c r="H15" s="498"/>
      <c r="I15" s="496"/>
      <c r="J15" s="494">
        <f>J4+NPV(Faktory!$D$5,J5:J13)</f>
        <v>2703744.9040101059</v>
      </c>
      <c r="K15" s="498"/>
      <c r="L15" s="496"/>
      <c r="M15" s="494">
        <f>M4+NPV(Faktory!$D$5,M5:M13)</f>
        <v>0</v>
      </c>
      <c r="N15" s="498"/>
      <c r="O15" s="496"/>
      <c r="P15" s="494">
        <f>P4+NPV(Faktory!$D$5,P5:P13)</f>
        <v>175152</v>
      </c>
      <c r="Q15" s="498"/>
      <c r="R15" s="496"/>
      <c r="S15" s="494">
        <f>S4+NPV(Faktory!$D$5,S5:S13)</f>
        <v>0</v>
      </c>
      <c r="T15" s="503"/>
      <c r="U15" s="504"/>
      <c r="V15" s="505">
        <f>V4+NPV(Faktory!$D$5,V5:V13)</f>
        <v>2942096.9040101059</v>
      </c>
    </row>
    <row r="16" spans="1:23" x14ac:dyDescent="0.3">
      <c r="A16" s="120"/>
      <c r="B16" s="120"/>
      <c r="C16" s="120"/>
      <c r="D16" s="131"/>
      <c r="E16" s="120"/>
      <c r="F16" s="120"/>
      <c r="G16" s="131"/>
      <c r="H16" s="120"/>
      <c r="I16" s="120"/>
      <c r="J16" s="131"/>
      <c r="K16" s="131"/>
      <c r="L16" s="131"/>
      <c r="M16" s="131"/>
      <c r="N16" s="131"/>
      <c r="O16" s="131"/>
      <c r="P16" s="131"/>
      <c r="Q16" s="120"/>
      <c r="R16" s="120"/>
      <c r="S16" s="131"/>
      <c r="T16" s="152"/>
      <c r="U16" s="152"/>
      <c r="V16" s="152"/>
    </row>
    <row r="17" spans="1:2" x14ac:dyDescent="0.3">
      <c r="A17" s="104"/>
      <c r="B17" s="105" t="s">
        <v>163</v>
      </c>
    </row>
    <row r="22" spans="1:2" x14ac:dyDescent="0.3">
      <c r="B22" s="153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56"/>
  <sheetViews>
    <sheetView showGridLines="0" zoomScale="70" zoomScaleNormal="7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G66" sqref="G66"/>
    </sheetView>
  </sheetViews>
  <sheetFormatPr defaultColWidth="9.109375" defaultRowHeight="14.4" x14ac:dyDescent="0.3"/>
  <cols>
    <col min="1" max="1" width="19.109375" style="318" customWidth="1"/>
    <col min="2" max="2" width="9.88671875" style="318" bestFit="1" customWidth="1"/>
    <col min="3" max="3" width="8.88671875" style="318" bestFit="1" customWidth="1"/>
    <col min="4" max="4" width="14.44140625" style="318" bestFit="1" customWidth="1"/>
    <col min="5" max="5" width="15.6640625" style="318" bestFit="1" customWidth="1"/>
    <col min="6" max="6" width="14.44140625" style="318" bestFit="1" customWidth="1"/>
    <col min="7" max="7" width="10.88671875" style="361" customWidth="1"/>
    <col min="8" max="8" width="12" style="418" customWidth="1"/>
    <col min="9" max="9" width="12" style="361" customWidth="1"/>
    <col min="10" max="10" width="8.109375" style="318" customWidth="1"/>
    <col min="11" max="11" width="11.33203125" style="318" bestFit="1" customWidth="1"/>
    <col min="12" max="12" width="8.6640625" style="318" bestFit="1" customWidth="1"/>
    <col min="13" max="13" width="8.109375" style="419" customWidth="1"/>
    <col min="14" max="14" width="9.77734375" style="418" bestFit="1" customWidth="1"/>
    <col min="15" max="15" width="8.6640625" style="361" bestFit="1" customWidth="1"/>
    <col min="16" max="16" width="8.109375" style="419" customWidth="1"/>
    <col min="17" max="17" width="9.77734375" style="418" bestFit="1" customWidth="1"/>
    <col min="18" max="18" width="8.109375" style="361" customWidth="1"/>
    <col min="19" max="19" width="14.6640625" style="396" customWidth="1"/>
    <col min="20" max="22" width="9.109375" style="318"/>
    <col min="23" max="23" width="12.44140625" style="318" bestFit="1" customWidth="1"/>
    <col min="24" max="258" width="9.109375" style="318"/>
    <col min="259" max="259" width="1.6640625" style="318" customWidth="1"/>
    <col min="260" max="260" width="19.109375" style="318" customWidth="1"/>
    <col min="261" max="261" width="35.109375" style="318" customWidth="1"/>
    <col min="262" max="262" width="9.88671875" style="318" bestFit="1" customWidth="1"/>
    <col min="263" max="263" width="8.88671875" style="318" bestFit="1" customWidth="1"/>
    <col min="264" max="274" width="10.33203125" style="318" customWidth="1"/>
    <col min="275" max="514" width="9.109375" style="318"/>
    <col min="515" max="515" width="1.6640625" style="318" customWidth="1"/>
    <col min="516" max="516" width="19.109375" style="318" customWidth="1"/>
    <col min="517" max="517" width="35.109375" style="318" customWidth="1"/>
    <col min="518" max="518" width="9.88671875" style="318" bestFit="1" customWidth="1"/>
    <col min="519" max="519" width="8.88671875" style="318" bestFit="1" customWidth="1"/>
    <col min="520" max="530" width="10.33203125" style="318" customWidth="1"/>
    <col min="531" max="770" width="9.109375" style="318"/>
    <col min="771" max="771" width="1.6640625" style="318" customWidth="1"/>
    <col min="772" max="772" width="19.109375" style="318" customWidth="1"/>
    <col min="773" max="773" width="35.109375" style="318" customWidth="1"/>
    <col min="774" max="774" width="9.88671875" style="318" bestFit="1" customWidth="1"/>
    <col min="775" max="775" width="8.88671875" style="318" bestFit="1" customWidth="1"/>
    <col min="776" max="786" width="10.33203125" style="318" customWidth="1"/>
    <col min="787" max="1026" width="9.109375" style="318"/>
    <col min="1027" max="1027" width="1.6640625" style="318" customWidth="1"/>
    <col min="1028" max="1028" width="19.109375" style="318" customWidth="1"/>
    <col min="1029" max="1029" width="35.109375" style="318" customWidth="1"/>
    <col min="1030" max="1030" width="9.88671875" style="318" bestFit="1" customWidth="1"/>
    <col min="1031" max="1031" width="8.88671875" style="318" bestFit="1" customWidth="1"/>
    <col min="1032" max="1042" width="10.33203125" style="318" customWidth="1"/>
    <col min="1043" max="1282" width="9.109375" style="318"/>
    <col min="1283" max="1283" width="1.6640625" style="318" customWidth="1"/>
    <col min="1284" max="1284" width="19.109375" style="318" customWidth="1"/>
    <col min="1285" max="1285" width="35.109375" style="318" customWidth="1"/>
    <col min="1286" max="1286" width="9.88671875" style="318" bestFit="1" customWidth="1"/>
    <col min="1287" max="1287" width="8.88671875" style="318" bestFit="1" customWidth="1"/>
    <col min="1288" max="1298" width="10.33203125" style="318" customWidth="1"/>
    <col min="1299" max="1538" width="9.109375" style="318"/>
    <col min="1539" max="1539" width="1.6640625" style="318" customWidth="1"/>
    <col min="1540" max="1540" width="19.109375" style="318" customWidth="1"/>
    <col min="1541" max="1541" width="35.109375" style="318" customWidth="1"/>
    <col min="1542" max="1542" width="9.88671875" style="318" bestFit="1" customWidth="1"/>
    <col min="1543" max="1543" width="8.88671875" style="318" bestFit="1" customWidth="1"/>
    <col min="1544" max="1554" width="10.33203125" style="318" customWidth="1"/>
    <col min="1555" max="1794" width="9.109375" style="318"/>
    <col min="1795" max="1795" width="1.6640625" style="318" customWidth="1"/>
    <col min="1796" max="1796" width="19.109375" style="318" customWidth="1"/>
    <col min="1797" max="1797" width="35.109375" style="318" customWidth="1"/>
    <col min="1798" max="1798" width="9.88671875" style="318" bestFit="1" customWidth="1"/>
    <col min="1799" max="1799" width="8.88671875" style="318" bestFit="1" customWidth="1"/>
    <col min="1800" max="1810" width="10.33203125" style="318" customWidth="1"/>
    <col min="1811" max="2050" width="9.109375" style="318"/>
    <col min="2051" max="2051" width="1.6640625" style="318" customWidth="1"/>
    <col min="2052" max="2052" width="19.109375" style="318" customWidth="1"/>
    <col min="2053" max="2053" width="35.109375" style="318" customWidth="1"/>
    <col min="2054" max="2054" width="9.88671875" style="318" bestFit="1" customWidth="1"/>
    <col min="2055" max="2055" width="8.88671875" style="318" bestFit="1" customWidth="1"/>
    <col min="2056" max="2066" width="10.33203125" style="318" customWidth="1"/>
    <col min="2067" max="2306" width="9.109375" style="318"/>
    <col min="2307" max="2307" width="1.6640625" style="318" customWidth="1"/>
    <col min="2308" max="2308" width="19.109375" style="318" customWidth="1"/>
    <col min="2309" max="2309" width="35.109375" style="318" customWidth="1"/>
    <col min="2310" max="2310" width="9.88671875" style="318" bestFit="1" customWidth="1"/>
    <col min="2311" max="2311" width="8.88671875" style="318" bestFit="1" customWidth="1"/>
    <col min="2312" max="2322" width="10.33203125" style="318" customWidth="1"/>
    <col min="2323" max="2562" width="9.109375" style="318"/>
    <col min="2563" max="2563" width="1.6640625" style="318" customWidth="1"/>
    <col min="2564" max="2564" width="19.109375" style="318" customWidth="1"/>
    <col min="2565" max="2565" width="35.109375" style="318" customWidth="1"/>
    <col min="2566" max="2566" width="9.88671875" style="318" bestFit="1" customWidth="1"/>
    <col min="2567" max="2567" width="8.88671875" style="318" bestFit="1" customWidth="1"/>
    <col min="2568" max="2578" width="10.33203125" style="318" customWidth="1"/>
    <col min="2579" max="2818" width="9.109375" style="318"/>
    <col min="2819" max="2819" width="1.6640625" style="318" customWidth="1"/>
    <col min="2820" max="2820" width="19.109375" style="318" customWidth="1"/>
    <col min="2821" max="2821" width="35.109375" style="318" customWidth="1"/>
    <col min="2822" max="2822" width="9.88671875" style="318" bestFit="1" customWidth="1"/>
    <col min="2823" max="2823" width="8.88671875" style="318" bestFit="1" customWidth="1"/>
    <col min="2824" max="2834" width="10.33203125" style="318" customWidth="1"/>
    <col min="2835" max="3074" width="9.109375" style="318"/>
    <col min="3075" max="3075" width="1.6640625" style="318" customWidth="1"/>
    <col min="3076" max="3076" width="19.109375" style="318" customWidth="1"/>
    <col min="3077" max="3077" width="35.109375" style="318" customWidth="1"/>
    <col min="3078" max="3078" width="9.88671875" style="318" bestFit="1" customWidth="1"/>
    <col min="3079" max="3079" width="8.88671875" style="318" bestFit="1" customWidth="1"/>
    <col min="3080" max="3090" width="10.33203125" style="318" customWidth="1"/>
    <col min="3091" max="3330" width="9.109375" style="318"/>
    <col min="3331" max="3331" width="1.6640625" style="318" customWidth="1"/>
    <col min="3332" max="3332" width="19.109375" style="318" customWidth="1"/>
    <col min="3333" max="3333" width="35.109375" style="318" customWidth="1"/>
    <col min="3334" max="3334" width="9.88671875" style="318" bestFit="1" customWidth="1"/>
    <col min="3335" max="3335" width="8.88671875" style="318" bestFit="1" customWidth="1"/>
    <col min="3336" max="3346" width="10.33203125" style="318" customWidth="1"/>
    <col min="3347" max="3586" width="9.109375" style="318"/>
    <col min="3587" max="3587" width="1.6640625" style="318" customWidth="1"/>
    <col min="3588" max="3588" width="19.109375" style="318" customWidth="1"/>
    <col min="3589" max="3589" width="35.109375" style="318" customWidth="1"/>
    <col min="3590" max="3590" width="9.88671875" style="318" bestFit="1" customWidth="1"/>
    <col min="3591" max="3591" width="8.88671875" style="318" bestFit="1" customWidth="1"/>
    <col min="3592" max="3602" width="10.33203125" style="318" customWidth="1"/>
    <col min="3603" max="3842" width="9.109375" style="318"/>
    <col min="3843" max="3843" width="1.6640625" style="318" customWidth="1"/>
    <col min="3844" max="3844" width="19.109375" style="318" customWidth="1"/>
    <col min="3845" max="3845" width="35.109375" style="318" customWidth="1"/>
    <col min="3846" max="3846" width="9.88671875" style="318" bestFit="1" customWidth="1"/>
    <col min="3847" max="3847" width="8.88671875" style="318" bestFit="1" customWidth="1"/>
    <col min="3848" max="3858" width="10.33203125" style="318" customWidth="1"/>
    <col min="3859" max="4098" width="9.109375" style="318"/>
    <col min="4099" max="4099" width="1.6640625" style="318" customWidth="1"/>
    <col min="4100" max="4100" width="19.109375" style="318" customWidth="1"/>
    <col min="4101" max="4101" width="35.109375" style="318" customWidth="1"/>
    <col min="4102" max="4102" width="9.88671875" style="318" bestFit="1" customWidth="1"/>
    <col min="4103" max="4103" width="8.88671875" style="318" bestFit="1" customWidth="1"/>
    <col min="4104" max="4114" width="10.33203125" style="318" customWidth="1"/>
    <col min="4115" max="4354" width="9.109375" style="318"/>
    <col min="4355" max="4355" width="1.6640625" style="318" customWidth="1"/>
    <col min="4356" max="4356" width="19.109375" style="318" customWidth="1"/>
    <col min="4357" max="4357" width="35.109375" style="318" customWidth="1"/>
    <col min="4358" max="4358" width="9.88671875" style="318" bestFit="1" customWidth="1"/>
    <col min="4359" max="4359" width="8.88671875" style="318" bestFit="1" customWidth="1"/>
    <col min="4360" max="4370" width="10.33203125" style="318" customWidth="1"/>
    <col min="4371" max="4610" width="9.109375" style="318"/>
    <col min="4611" max="4611" width="1.6640625" style="318" customWidth="1"/>
    <col min="4612" max="4612" width="19.109375" style="318" customWidth="1"/>
    <col min="4613" max="4613" width="35.109375" style="318" customWidth="1"/>
    <col min="4614" max="4614" width="9.88671875" style="318" bestFit="1" customWidth="1"/>
    <col min="4615" max="4615" width="8.88671875" style="318" bestFit="1" customWidth="1"/>
    <col min="4616" max="4626" width="10.33203125" style="318" customWidth="1"/>
    <col min="4627" max="4866" width="9.109375" style="318"/>
    <col min="4867" max="4867" width="1.6640625" style="318" customWidth="1"/>
    <col min="4868" max="4868" width="19.109375" style="318" customWidth="1"/>
    <col min="4869" max="4869" width="35.109375" style="318" customWidth="1"/>
    <col min="4870" max="4870" width="9.88671875" style="318" bestFit="1" customWidth="1"/>
    <col min="4871" max="4871" width="8.88671875" style="318" bestFit="1" customWidth="1"/>
    <col min="4872" max="4882" width="10.33203125" style="318" customWidth="1"/>
    <col min="4883" max="5122" width="9.109375" style="318"/>
    <col min="5123" max="5123" width="1.6640625" style="318" customWidth="1"/>
    <col min="5124" max="5124" width="19.109375" style="318" customWidth="1"/>
    <col min="5125" max="5125" width="35.109375" style="318" customWidth="1"/>
    <col min="5126" max="5126" width="9.88671875" style="318" bestFit="1" customWidth="1"/>
    <col min="5127" max="5127" width="8.88671875" style="318" bestFit="1" customWidth="1"/>
    <col min="5128" max="5138" width="10.33203125" style="318" customWidth="1"/>
    <col min="5139" max="5378" width="9.109375" style="318"/>
    <col min="5379" max="5379" width="1.6640625" style="318" customWidth="1"/>
    <col min="5380" max="5380" width="19.109375" style="318" customWidth="1"/>
    <col min="5381" max="5381" width="35.109375" style="318" customWidth="1"/>
    <col min="5382" max="5382" width="9.88671875" style="318" bestFit="1" customWidth="1"/>
    <col min="5383" max="5383" width="8.88671875" style="318" bestFit="1" customWidth="1"/>
    <col min="5384" max="5394" width="10.33203125" style="318" customWidth="1"/>
    <col min="5395" max="5634" width="9.109375" style="318"/>
    <col min="5635" max="5635" width="1.6640625" style="318" customWidth="1"/>
    <col min="5636" max="5636" width="19.109375" style="318" customWidth="1"/>
    <col min="5637" max="5637" width="35.109375" style="318" customWidth="1"/>
    <col min="5638" max="5638" width="9.88671875" style="318" bestFit="1" customWidth="1"/>
    <col min="5639" max="5639" width="8.88671875" style="318" bestFit="1" customWidth="1"/>
    <col min="5640" max="5650" width="10.33203125" style="318" customWidth="1"/>
    <col min="5651" max="5890" width="9.109375" style="318"/>
    <col min="5891" max="5891" width="1.6640625" style="318" customWidth="1"/>
    <col min="5892" max="5892" width="19.109375" style="318" customWidth="1"/>
    <col min="5893" max="5893" width="35.109375" style="318" customWidth="1"/>
    <col min="5894" max="5894" width="9.88671875" style="318" bestFit="1" customWidth="1"/>
    <col min="5895" max="5895" width="8.88671875" style="318" bestFit="1" customWidth="1"/>
    <col min="5896" max="5906" width="10.33203125" style="318" customWidth="1"/>
    <col min="5907" max="6146" width="9.109375" style="318"/>
    <col min="6147" max="6147" width="1.6640625" style="318" customWidth="1"/>
    <col min="6148" max="6148" width="19.109375" style="318" customWidth="1"/>
    <col min="6149" max="6149" width="35.109375" style="318" customWidth="1"/>
    <col min="6150" max="6150" width="9.88671875" style="318" bestFit="1" customWidth="1"/>
    <col min="6151" max="6151" width="8.88671875" style="318" bestFit="1" customWidth="1"/>
    <col min="6152" max="6162" width="10.33203125" style="318" customWidth="1"/>
    <col min="6163" max="6402" width="9.109375" style="318"/>
    <col min="6403" max="6403" width="1.6640625" style="318" customWidth="1"/>
    <col min="6404" max="6404" width="19.109375" style="318" customWidth="1"/>
    <col min="6405" max="6405" width="35.109375" style="318" customWidth="1"/>
    <col min="6406" max="6406" width="9.88671875" style="318" bestFit="1" customWidth="1"/>
    <col min="6407" max="6407" width="8.88671875" style="318" bestFit="1" customWidth="1"/>
    <col min="6408" max="6418" width="10.33203125" style="318" customWidth="1"/>
    <col min="6419" max="6658" width="9.109375" style="318"/>
    <col min="6659" max="6659" width="1.6640625" style="318" customWidth="1"/>
    <col min="6660" max="6660" width="19.109375" style="318" customWidth="1"/>
    <col min="6661" max="6661" width="35.109375" style="318" customWidth="1"/>
    <col min="6662" max="6662" width="9.88671875" style="318" bestFit="1" customWidth="1"/>
    <col min="6663" max="6663" width="8.88671875" style="318" bestFit="1" customWidth="1"/>
    <col min="6664" max="6674" width="10.33203125" style="318" customWidth="1"/>
    <col min="6675" max="6914" width="9.109375" style="318"/>
    <col min="6915" max="6915" width="1.6640625" style="318" customWidth="1"/>
    <col min="6916" max="6916" width="19.109375" style="318" customWidth="1"/>
    <col min="6917" max="6917" width="35.109375" style="318" customWidth="1"/>
    <col min="6918" max="6918" width="9.88671875" style="318" bestFit="1" customWidth="1"/>
    <col min="6919" max="6919" width="8.88671875" style="318" bestFit="1" customWidth="1"/>
    <col min="6920" max="6930" width="10.33203125" style="318" customWidth="1"/>
    <col min="6931" max="7170" width="9.109375" style="318"/>
    <col min="7171" max="7171" width="1.6640625" style="318" customWidth="1"/>
    <col min="7172" max="7172" width="19.109375" style="318" customWidth="1"/>
    <col min="7173" max="7173" width="35.109375" style="318" customWidth="1"/>
    <col min="7174" max="7174" width="9.88671875" style="318" bestFit="1" customWidth="1"/>
    <col min="7175" max="7175" width="8.88671875" style="318" bestFit="1" customWidth="1"/>
    <col min="7176" max="7186" width="10.33203125" style="318" customWidth="1"/>
    <col min="7187" max="7426" width="9.109375" style="318"/>
    <col min="7427" max="7427" width="1.6640625" style="318" customWidth="1"/>
    <col min="7428" max="7428" width="19.109375" style="318" customWidth="1"/>
    <col min="7429" max="7429" width="35.109375" style="318" customWidth="1"/>
    <col min="7430" max="7430" width="9.88671875" style="318" bestFit="1" customWidth="1"/>
    <col min="7431" max="7431" width="8.88671875" style="318" bestFit="1" customWidth="1"/>
    <col min="7432" max="7442" width="10.33203125" style="318" customWidth="1"/>
    <col min="7443" max="7682" width="9.109375" style="318"/>
    <col min="7683" max="7683" width="1.6640625" style="318" customWidth="1"/>
    <col min="7684" max="7684" width="19.109375" style="318" customWidth="1"/>
    <col min="7685" max="7685" width="35.109375" style="318" customWidth="1"/>
    <col min="7686" max="7686" width="9.88671875" style="318" bestFit="1" customWidth="1"/>
    <col min="7687" max="7687" width="8.88671875" style="318" bestFit="1" customWidth="1"/>
    <col min="7688" max="7698" width="10.33203125" style="318" customWidth="1"/>
    <col min="7699" max="7938" width="9.109375" style="318"/>
    <col min="7939" max="7939" width="1.6640625" style="318" customWidth="1"/>
    <col min="7940" max="7940" width="19.109375" style="318" customWidth="1"/>
    <col min="7941" max="7941" width="35.109375" style="318" customWidth="1"/>
    <col min="7942" max="7942" width="9.88671875" style="318" bestFit="1" customWidth="1"/>
    <col min="7943" max="7943" width="8.88671875" style="318" bestFit="1" customWidth="1"/>
    <col min="7944" max="7954" width="10.33203125" style="318" customWidth="1"/>
    <col min="7955" max="8194" width="9.109375" style="318"/>
    <col min="8195" max="8195" width="1.6640625" style="318" customWidth="1"/>
    <col min="8196" max="8196" width="19.109375" style="318" customWidth="1"/>
    <col min="8197" max="8197" width="35.109375" style="318" customWidth="1"/>
    <col min="8198" max="8198" width="9.88671875" style="318" bestFit="1" customWidth="1"/>
    <col min="8199" max="8199" width="8.88671875" style="318" bestFit="1" customWidth="1"/>
    <col min="8200" max="8210" width="10.33203125" style="318" customWidth="1"/>
    <col min="8211" max="8450" width="9.109375" style="318"/>
    <col min="8451" max="8451" width="1.6640625" style="318" customWidth="1"/>
    <col min="8452" max="8452" width="19.109375" style="318" customWidth="1"/>
    <col min="8453" max="8453" width="35.109375" style="318" customWidth="1"/>
    <col min="8454" max="8454" width="9.88671875" style="318" bestFit="1" customWidth="1"/>
    <col min="8455" max="8455" width="8.88671875" style="318" bestFit="1" customWidth="1"/>
    <col min="8456" max="8466" width="10.33203125" style="318" customWidth="1"/>
    <col min="8467" max="8706" width="9.109375" style="318"/>
    <col min="8707" max="8707" width="1.6640625" style="318" customWidth="1"/>
    <col min="8708" max="8708" width="19.109375" style="318" customWidth="1"/>
    <col min="8709" max="8709" width="35.109375" style="318" customWidth="1"/>
    <col min="8710" max="8710" width="9.88671875" style="318" bestFit="1" customWidth="1"/>
    <col min="8711" max="8711" width="8.88671875" style="318" bestFit="1" customWidth="1"/>
    <col min="8712" max="8722" width="10.33203125" style="318" customWidth="1"/>
    <col min="8723" max="8962" width="9.109375" style="318"/>
    <col min="8963" max="8963" width="1.6640625" style="318" customWidth="1"/>
    <col min="8964" max="8964" width="19.109375" style="318" customWidth="1"/>
    <col min="8965" max="8965" width="35.109375" style="318" customWidth="1"/>
    <col min="8966" max="8966" width="9.88671875" style="318" bestFit="1" customWidth="1"/>
    <col min="8967" max="8967" width="8.88671875" style="318" bestFit="1" customWidth="1"/>
    <col min="8968" max="8978" width="10.33203125" style="318" customWidth="1"/>
    <col min="8979" max="9218" width="9.109375" style="318"/>
    <col min="9219" max="9219" width="1.6640625" style="318" customWidth="1"/>
    <col min="9220" max="9220" width="19.109375" style="318" customWidth="1"/>
    <col min="9221" max="9221" width="35.109375" style="318" customWidth="1"/>
    <col min="9222" max="9222" width="9.88671875" style="318" bestFit="1" customWidth="1"/>
    <col min="9223" max="9223" width="8.88671875" style="318" bestFit="1" customWidth="1"/>
    <col min="9224" max="9234" width="10.33203125" style="318" customWidth="1"/>
    <col min="9235" max="9474" width="9.109375" style="318"/>
    <col min="9475" max="9475" width="1.6640625" style="318" customWidth="1"/>
    <col min="9476" max="9476" width="19.109375" style="318" customWidth="1"/>
    <col min="9477" max="9477" width="35.109375" style="318" customWidth="1"/>
    <col min="9478" max="9478" width="9.88671875" style="318" bestFit="1" customWidth="1"/>
    <col min="9479" max="9479" width="8.88671875" style="318" bestFit="1" customWidth="1"/>
    <col min="9480" max="9490" width="10.33203125" style="318" customWidth="1"/>
    <col min="9491" max="9730" width="9.109375" style="318"/>
    <col min="9731" max="9731" width="1.6640625" style="318" customWidth="1"/>
    <col min="9732" max="9732" width="19.109375" style="318" customWidth="1"/>
    <col min="9733" max="9733" width="35.109375" style="318" customWidth="1"/>
    <col min="9734" max="9734" width="9.88671875" style="318" bestFit="1" customWidth="1"/>
    <col min="9735" max="9735" width="8.88671875" style="318" bestFit="1" customWidth="1"/>
    <col min="9736" max="9746" width="10.33203125" style="318" customWidth="1"/>
    <col min="9747" max="9986" width="9.109375" style="318"/>
    <col min="9987" max="9987" width="1.6640625" style="318" customWidth="1"/>
    <col min="9988" max="9988" width="19.109375" style="318" customWidth="1"/>
    <col min="9989" max="9989" width="35.109375" style="318" customWidth="1"/>
    <col min="9990" max="9990" width="9.88671875" style="318" bestFit="1" customWidth="1"/>
    <col min="9991" max="9991" width="8.88671875" style="318" bestFit="1" customWidth="1"/>
    <col min="9992" max="10002" width="10.33203125" style="318" customWidth="1"/>
    <col min="10003" max="10242" width="9.109375" style="318"/>
    <col min="10243" max="10243" width="1.6640625" style="318" customWidth="1"/>
    <col min="10244" max="10244" width="19.109375" style="318" customWidth="1"/>
    <col min="10245" max="10245" width="35.109375" style="318" customWidth="1"/>
    <col min="10246" max="10246" width="9.88671875" style="318" bestFit="1" customWidth="1"/>
    <col min="10247" max="10247" width="8.88671875" style="318" bestFit="1" customWidth="1"/>
    <col min="10248" max="10258" width="10.33203125" style="318" customWidth="1"/>
    <col min="10259" max="10498" width="9.109375" style="318"/>
    <col min="10499" max="10499" width="1.6640625" style="318" customWidth="1"/>
    <col min="10500" max="10500" width="19.109375" style="318" customWidth="1"/>
    <col min="10501" max="10501" width="35.109375" style="318" customWidth="1"/>
    <col min="10502" max="10502" width="9.88671875" style="318" bestFit="1" customWidth="1"/>
    <col min="10503" max="10503" width="8.88671875" style="318" bestFit="1" customWidth="1"/>
    <col min="10504" max="10514" width="10.33203125" style="318" customWidth="1"/>
    <col min="10515" max="10754" width="9.109375" style="318"/>
    <col min="10755" max="10755" width="1.6640625" style="318" customWidth="1"/>
    <col min="10756" max="10756" width="19.109375" style="318" customWidth="1"/>
    <col min="10757" max="10757" width="35.109375" style="318" customWidth="1"/>
    <col min="10758" max="10758" width="9.88671875" style="318" bestFit="1" customWidth="1"/>
    <col min="10759" max="10759" width="8.88671875" style="318" bestFit="1" customWidth="1"/>
    <col min="10760" max="10770" width="10.33203125" style="318" customWidth="1"/>
    <col min="10771" max="11010" width="9.109375" style="318"/>
    <col min="11011" max="11011" width="1.6640625" style="318" customWidth="1"/>
    <col min="11012" max="11012" width="19.109375" style="318" customWidth="1"/>
    <col min="11013" max="11013" width="35.109375" style="318" customWidth="1"/>
    <col min="11014" max="11014" width="9.88671875" style="318" bestFit="1" customWidth="1"/>
    <col min="11015" max="11015" width="8.88671875" style="318" bestFit="1" customWidth="1"/>
    <col min="11016" max="11026" width="10.33203125" style="318" customWidth="1"/>
    <col min="11027" max="11266" width="9.109375" style="318"/>
    <col min="11267" max="11267" width="1.6640625" style="318" customWidth="1"/>
    <col min="11268" max="11268" width="19.109375" style="318" customWidth="1"/>
    <col min="11269" max="11269" width="35.109375" style="318" customWidth="1"/>
    <col min="11270" max="11270" width="9.88671875" style="318" bestFit="1" customWidth="1"/>
    <col min="11271" max="11271" width="8.88671875" style="318" bestFit="1" customWidth="1"/>
    <col min="11272" max="11282" width="10.33203125" style="318" customWidth="1"/>
    <col min="11283" max="11522" width="9.109375" style="318"/>
    <col min="11523" max="11523" width="1.6640625" style="318" customWidth="1"/>
    <col min="11524" max="11524" width="19.109375" style="318" customWidth="1"/>
    <col min="11525" max="11525" width="35.109375" style="318" customWidth="1"/>
    <col min="11526" max="11526" width="9.88671875" style="318" bestFit="1" customWidth="1"/>
    <col min="11527" max="11527" width="8.88671875" style="318" bestFit="1" customWidth="1"/>
    <col min="11528" max="11538" width="10.33203125" style="318" customWidth="1"/>
    <col min="11539" max="11778" width="9.109375" style="318"/>
    <col min="11779" max="11779" width="1.6640625" style="318" customWidth="1"/>
    <col min="11780" max="11780" width="19.109375" style="318" customWidth="1"/>
    <col min="11781" max="11781" width="35.109375" style="318" customWidth="1"/>
    <col min="11782" max="11782" width="9.88671875" style="318" bestFit="1" customWidth="1"/>
    <col min="11783" max="11783" width="8.88671875" style="318" bestFit="1" customWidth="1"/>
    <col min="11784" max="11794" width="10.33203125" style="318" customWidth="1"/>
    <col min="11795" max="12034" width="9.109375" style="318"/>
    <col min="12035" max="12035" width="1.6640625" style="318" customWidth="1"/>
    <col min="12036" max="12036" width="19.109375" style="318" customWidth="1"/>
    <col min="12037" max="12037" width="35.109375" style="318" customWidth="1"/>
    <col min="12038" max="12038" width="9.88671875" style="318" bestFit="1" customWidth="1"/>
    <col min="12039" max="12039" width="8.88671875" style="318" bestFit="1" customWidth="1"/>
    <col min="12040" max="12050" width="10.33203125" style="318" customWidth="1"/>
    <col min="12051" max="12290" width="9.109375" style="318"/>
    <col min="12291" max="12291" width="1.6640625" style="318" customWidth="1"/>
    <col min="12292" max="12292" width="19.109375" style="318" customWidth="1"/>
    <col min="12293" max="12293" width="35.109375" style="318" customWidth="1"/>
    <col min="12294" max="12294" width="9.88671875" style="318" bestFit="1" customWidth="1"/>
    <col min="12295" max="12295" width="8.88671875" style="318" bestFit="1" customWidth="1"/>
    <col min="12296" max="12306" width="10.33203125" style="318" customWidth="1"/>
    <col min="12307" max="12546" width="9.109375" style="318"/>
    <col min="12547" max="12547" width="1.6640625" style="318" customWidth="1"/>
    <col min="12548" max="12548" width="19.109375" style="318" customWidth="1"/>
    <col min="12549" max="12549" width="35.109375" style="318" customWidth="1"/>
    <col min="12550" max="12550" width="9.88671875" style="318" bestFit="1" customWidth="1"/>
    <col min="12551" max="12551" width="8.88671875" style="318" bestFit="1" customWidth="1"/>
    <col min="12552" max="12562" width="10.33203125" style="318" customWidth="1"/>
    <col min="12563" max="12802" width="9.109375" style="318"/>
    <col min="12803" max="12803" width="1.6640625" style="318" customWidth="1"/>
    <col min="12804" max="12804" width="19.109375" style="318" customWidth="1"/>
    <col min="12805" max="12805" width="35.109375" style="318" customWidth="1"/>
    <col min="12806" max="12806" width="9.88671875" style="318" bestFit="1" customWidth="1"/>
    <col min="12807" max="12807" width="8.88671875" style="318" bestFit="1" customWidth="1"/>
    <col min="12808" max="12818" width="10.33203125" style="318" customWidth="1"/>
    <col min="12819" max="13058" width="9.109375" style="318"/>
    <col min="13059" max="13059" width="1.6640625" style="318" customWidth="1"/>
    <col min="13060" max="13060" width="19.109375" style="318" customWidth="1"/>
    <col min="13061" max="13061" width="35.109375" style="318" customWidth="1"/>
    <col min="13062" max="13062" width="9.88671875" style="318" bestFit="1" customWidth="1"/>
    <col min="13063" max="13063" width="8.88671875" style="318" bestFit="1" customWidth="1"/>
    <col min="13064" max="13074" width="10.33203125" style="318" customWidth="1"/>
    <col min="13075" max="13314" width="9.109375" style="318"/>
    <col min="13315" max="13315" width="1.6640625" style="318" customWidth="1"/>
    <col min="13316" max="13316" width="19.109375" style="318" customWidth="1"/>
    <col min="13317" max="13317" width="35.109375" style="318" customWidth="1"/>
    <col min="13318" max="13318" width="9.88671875" style="318" bestFit="1" customWidth="1"/>
    <col min="13319" max="13319" width="8.88671875" style="318" bestFit="1" customWidth="1"/>
    <col min="13320" max="13330" width="10.33203125" style="318" customWidth="1"/>
    <col min="13331" max="13570" width="9.109375" style="318"/>
    <col min="13571" max="13571" width="1.6640625" style="318" customWidth="1"/>
    <col min="13572" max="13572" width="19.109375" style="318" customWidth="1"/>
    <col min="13573" max="13573" width="35.109375" style="318" customWidth="1"/>
    <col min="13574" max="13574" width="9.88671875" style="318" bestFit="1" customWidth="1"/>
    <col min="13575" max="13575" width="8.88671875" style="318" bestFit="1" customWidth="1"/>
    <col min="13576" max="13586" width="10.33203125" style="318" customWidth="1"/>
    <col min="13587" max="13826" width="9.109375" style="318"/>
    <col min="13827" max="13827" width="1.6640625" style="318" customWidth="1"/>
    <col min="13828" max="13828" width="19.109375" style="318" customWidth="1"/>
    <col min="13829" max="13829" width="35.109375" style="318" customWidth="1"/>
    <col min="13830" max="13830" width="9.88671875" style="318" bestFit="1" customWidth="1"/>
    <col min="13831" max="13831" width="8.88671875" style="318" bestFit="1" customWidth="1"/>
    <col min="13832" max="13842" width="10.33203125" style="318" customWidth="1"/>
    <col min="13843" max="14082" width="9.109375" style="318"/>
    <col min="14083" max="14083" width="1.6640625" style="318" customWidth="1"/>
    <col min="14084" max="14084" width="19.109375" style="318" customWidth="1"/>
    <col min="14085" max="14085" width="35.109375" style="318" customWidth="1"/>
    <col min="14086" max="14086" width="9.88671875" style="318" bestFit="1" customWidth="1"/>
    <col min="14087" max="14087" width="8.88671875" style="318" bestFit="1" customWidth="1"/>
    <col min="14088" max="14098" width="10.33203125" style="318" customWidth="1"/>
    <col min="14099" max="14338" width="9.109375" style="318"/>
    <col min="14339" max="14339" width="1.6640625" style="318" customWidth="1"/>
    <col min="14340" max="14340" width="19.109375" style="318" customWidth="1"/>
    <col min="14341" max="14341" width="35.109375" style="318" customWidth="1"/>
    <col min="14342" max="14342" width="9.88671875" style="318" bestFit="1" customWidth="1"/>
    <col min="14343" max="14343" width="8.88671875" style="318" bestFit="1" customWidth="1"/>
    <col min="14344" max="14354" width="10.33203125" style="318" customWidth="1"/>
    <col min="14355" max="14594" width="9.109375" style="318"/>
    <col min="14595" max="14595" width="1.6640625" style="318" customWidth="1"/>
    <col min="14596" max="14596" width="19.109375" style="318" customWidth="1"/>
    <col min="14597" max="14597" width="35.109375" style="318" customWidth="1"/>
    <col min="14598" max="14598" width="9.88671875" style="318" bestFit="1" customWidth="1"/>
    <col min="14599" max="14599" width="8.88671875" style="318" bestFit="1" customWidth="1"/>
    <col min="14600" max="14610" width="10.33203125" style="318" customWidth="1"/>
    <col min="14611" max="14850" width="9.109375" style="318"/>
    <col min="14851" max="14851" width="1.6640625" style="318" customWidth="1"/>
    <col min="14852" max="14852" width="19.109375" style="318" customWidth="1"/>
    <col min="14853" max="14853" width="35.109375" style="318" customWidth="1"/>
    <col min="14854" max="14854" width="9.88671875" style="318" bestFit="1" customWidth="1"/>
    <col min="14855" max="14855" width="8.88671875" style="318" bestFit="1" customWidth="1"/>
    <col min="14856" max="14866" width="10.33203125" style="318" customWidth="1"/>
    <col min="14867" max="15106" width="9.109375" style="318"/>
    <col min="15107" max="15107" width="1.6640625" style="318" customWidth="1"/>
    <col min="15108" max="15108" width="19.109375" style="318" customWidth="1"/>
    <col min="15109" max="15109" width="35.109375" style="318" customWidth="1"/>
    <col min="15110" max="15110" width="9.88671875" style="318" bestFit="1" customWidth="1"/>
    <col min="15111" max="15111" width="8.88671875" style="318" bestFit="1" customWidth="1"/>
    <col min="15112" max="15122" width="10.33203125" style="318" customWidth="1"/>
    <col min="15123" max="15362" width="9.109375" style="318"/>
    <col min="15363" max="15363" width="1.6640625" style="318" customWidth="1"/>
    <col min="15364" max="15364" width="19.109375" style="318" customWidth="1"/>
    <col min="15365" max="15365" width="35.109375" style="318" customWidth="1"/>
    <col min="15366" max="15366" width="9.88671875" style="318" bestFit="1" customWidth="1"/>
    <col min="15367" max="15367" width="8.88671875" style="318" bestFit="1" customWidth="1"/>
    <col min="15368" max="15378" width="10.33203125" style="318" customWidth="1"/>
    <col min="15379" max="15618" width="9.109375" style="318"/>
    <col min="15619" max="15619" width="1.6640625" style="318" customWidth="1"/>
    <col min="15620" max="15620" width="19.109375" style="318" customWidth="1"/>
    <col min="15621" max="15621" width="35.109375" style="318" customWidth="1"/>
    <col min="15622" max="15622" width="9.88671875" style="318" bestFit="1" customWidth="1"/>
    <col min="15623" max="15623" width="8.88671875" style="318" bestFit="1" customWidth="1"/>
    <col min="15624" max="15634" width="10.33203125" style="318" customWidth="1"/>
    <col min="15635" max="15874" width="9.109375" style="318"/>
    <col min="15875" max="15875" width="1.6640625" style="318" customWidth="1"/>
    <col min="15876" max="15876" width="19.109375" style="318" customWidth="1"/>
    <col min="15877" max="15877" width="35.109375" style="318" customWidth="1"/>
    <col min="15878" max="15878" width="9.88671875" style="318" bestFit="1" customWidth="1"/>
    <col min="15879" max="15879" width="8.88671875" style="318" bestFit="1" customWidth="1"/>
    <col min="15880" max="15890" width="10.33203125" style="318" customWidth="1"/>
    <col min="15891" max="16130" width="9.109375" style="318"/>
    <col min="16131" max="16131" width="1.6640625" style="318" customWidth="1"/>
    <col min="16132" max="16132" width="19.109375" style="318" customWidth="1"/>
    <col min="16133" max="16133" width="35.109375" style="318" customWidth="1"/>
    <col min="16134" max="16134" width="9.88671875" style="318" bestFit="1" customWidth="1"/>
    <col min="16135" max="16135" width="8.88671875" style="318" bestFit="1" customWidth="1"/>
    <col min="16136" max="16146" width="10.33203125" style="318" customWidth="1"/>
    <col min="16147" max="16384" width="9.109375" style="318"/>
  </cols>
  <sheetData>
    <row r="1" spans="1:19" s="296" customFormat="1" ht="61.8" customHeight="1" x14ac:dyDescent="0.3">
      <c r="A1" s="594"/>
      <c r="B1" s="594"/>
      <c r="C1" s="594"/>
      <c r="D1" s="1085" t="s">
        <v>103</v>
      </c>
      <c r="E1" s="1086"/>
      <c r="F1" s="1087"/>
      <c r="G1" s="1083" t="str">
        <f>'TCO TO BE- SW'!G1</f>
        <v>1. Podpora workflow pre inšpekčnú a povoľovaciu činnosť</v>
      </c>
      <c r="H1" s="1083"/>
      <c r="I1" s="1084"/>
      <c r="J1" s="1083"/>
      <c r="K1" s="1083"/>
      <c r="L1" s="1084"/>
      <c r="M1" s="1083"/>
      <c r="N1" s="1083"/>
      <c r="O1" s="1084"/>
      <c r="P1" s="1096"/>
      <c r="Q1" s="1083"/>
      <c r="R1" s="1084"/>
      <c r="S1" s="295"/>
    </row>
    <row r="2" spans="1:19" s="296" customFormat="1" ht="232.2" customHeight="1" x14ac:dyDescent="0.3">
      <c r="A2" s="594" t="s">
        <v>310</v>
      </c>
      <c r="B2" s="594"/>
      <c r="C2" s="594"/>
      <c r="D2" s="595"/>
      <c r="E2" s="596"/>
      <c r="F2" s="597"/>
      <c r="G2" s="1092" t="s">
        <v>526</v>
      </c>
      <c r="H2" s="1093"/>
      <c r="I2" s="1094"/>
      <c r="J2" s="1095"/>
      <c r="K2" s="1093"/>
      <c r="L2" s="1094"/>
      <c r="M2" s="1095"/>
      <c r="N2" s="1093"/>
      <c r="O2" s="1094"/>
      <c r="P2" s="1095"/>
      <c r="Q2" s="1093"/>
      <c r="R2" s="1097"/>
      <c r="S2" s="295"/>
    </row>
    <row r="3" spans="1:19" s="296" customFormat="1" ht="36" customHeight="1" x14ac:dyDescent="0.3">
      <c r="A3" s="594" t="s">
        <v>212</v>
      </c>
      <c r="B3" s="594"/>
      <c r="C3" s="594"/>
      <c r="D3" s="595"/>
      <c r="E3" s="596"/>
      <c r="F3" s="597"/>
      <c r="G3" s="1088"/>
      <c r="H3" s="1089"/>
      <c r="I3" s="1090"/>
      <c r="J3" s="1091"/>
      <c r="K3" s="1089"/>
      <c r="L3" s="1090"/>
      <c r="M3" s="1091"/>
      <c r="N3" s="1089"/>
      <c r="O3" s="1090"/>
      <c r="P3" s="1091"/>
      <c r="Q3" s="1089"/>
      <c r="R3" s="1098"/>
      <c r="S3" s="295"/>
    </row>
    <row r="4" spans="1:19" s="296" customFormat="1" ht="36" customHeight="1" x14ac:dyDescent="0.3">
      <c r="A4" s="594" t="s">
        <v>213</v>
      </c>
      <c r="B4" s="594"/>
      <c r="C4" s="594"/>
      <c r="D4" s="595"/>
      <c r="E4" s="596"/>
      <c r="F4" s="597"/>
      <c r="G4" s="1088"/>
      <c r="H4" s="1089"/>
      <c r="I4" s="1090"/>
      <c r="J4" s="1091"/>
      <c r="K4" s="1089"/>
      <c r="L4" s="1090"/>
      <c r="M4" s="1091"/>
      <c r="N4" s="1089"/>
      <c r="O4" s="1090"/>
      <c r="P4" s="1091"/>
      <c r="Q4" s="1089"/>
      <c r="R4" s="1098"/>
      <c r="S4" s="295"/>
    </row>
    <row r="5" spans="1:19" s="307" customFormat="1" ht="15.75" customHeight="1" thickBot="1" x14ac:dyDescent="0.35">
      <c r="A5" s="297" t="s">
        <v>40</v>
      </c>
      <c r="B5" s="297" t="s">
        <v>10</v>
      </c>
      <c r="C5" s="298" t="s">
        <v>23</v>
      </c>
      <c r="D5" s="299" t="s">
        <v>215</v>
      </c>
      <c r="E5" s="300" t="s">
        <v>159</v>
      </c>
      <c r="F5" s="301" t="s">
        <v>153</v>
      </c>
      <c r="G5" s="302" t="s">
        <v>215</v>
      </c>
      <c r="H5" s="302" t="s">
        <v>159</v>
      </c>
      <c r="I5" s="303" t="s">
        <v>153</v>
      </c>
      <c r="J5" s="304" t="s">
        <v>215</v>
      </c>
      <c r="K5" s="302" t="s">
        <v>159</v>
      </c>
      <c r="L5" s="303" t="s">
        <v>153</v>
      </c>
      <c r="M5" s="304" t="s">
        <v>215</v>
      </c>
      <c r="N5" s="302" t="s">
        <v>159</v>
      </c>
      <c r="O5" s="303" t="s">
        <v>153</v>
      </c>
      <c r="P5" s="304" t="s">
        <v>215</v>
      </c>
      <c r="Q5" s="302" t="s">
        <v>159</v>
      </c>
      <c r="R5" s="305" t="s">
        <v>153</v>
      </c>
      <c r="S5" s="306"/>
    </row>
    <row r="6" spans="1:19" ht="14.4" customHeight="1" x14ac:dyDescent="0.3">
      <c r="A6" s="1077" t="s">
        <v>582</v>
      </c>
      <c r="B6" s="1080" t="s">
        <v>37</v>
      </c>
      <c r="C6" s="308" t="s">
        <v>25</v>
      </c>
      <c r="D6" s="309">
        <f t="shared" ref="D6:D15" si="0">G6+J6+M6+P6</f>
        <v>900</v>
      </c>
      <c r="E6" s="310">
        <f t="shared" ref="E6:E15" si="1">H6+K6+N6+Q6</f>
        <v>900</v>
      </c>
      <c r="F6" s="311">
        <f t="shared" ref="F6:F15" si="2">I6+L6+O6+R6</f>
        <v>0</v>
      </c>
      <c r="G6" s="312">
        <f>'Procesy - AS IS'!$AH$4</f>
        <v>900</v>
      </c>
      <c r="H6" s="313">
        <f>G6</f>
        <v>900</v>
      </c>
      <c r="I6" s="314">
        <f>H6-G6</f>
        <v>0</v>
      </c>
      <c r="J6" s="313"/>
      <c r="K6" s="313"/>
      <c r="L6" s="314">
        <f>K6-J6</f>
        <v>0</v>
      </c>
      <c r="M6" s="313"/>
      <c r="N6" s="313"/>
      <c r="O6" s="314">
        <f>N6-M6</f>
        <v>0</v>
      </c>
      <c r="P6" s="313"/>
      <c r="Q6" s="315"/>
      <c r="R6" s="316">
        <f>Q6-P6</f>
        <v>0</v>
      </c>
      <c r="S6" s="317">
        <v>0</v>
      </c>
    </row>
    <row r="7" spans="1:19" x14ac:dyDescent="0.3">
      <c r="A7" s="1078"/>
      <c r="B7" s="1081"/>
      <c r="C7" s="319" t="s">
        <v>26</v>
      </c>
      <c r="D7" s="320">
        <f t="shared" si="0"/>
        <v>900</v>
      </c>
      <c r="E7" s="321">
        <f t="shared" si="1"/>
        <v>1128.765625019704</v>
      </c>
      <c r="F7" s="322">
        <f t="shared" si="2"/>
        <v>228.76562501970398</v>
      </c>
      <c r="G7" s="323">
        <f>G6</f>
        <v>900</v>
      </c>
      <c r="H7" s="324">
        <f>'Procesy - TO BE'!$AF$4</f>
        <v>1128.765625019704</v>
      </c>
      <c r="I7" s="325">
        <f t="shared" ref="I7:I25" si="3">H7-G7</f>
        <v>228.76562501970398</v>
      </c>
      <c r="J7" s="324"/>
      <c r="K7" s="324"/>
      <c r="L7" s="325">
        <f t="shared" ref="L7:L25" si="4">K7-J7</f>
        <v>0</v>
      </c>
      <c r="M7" s="324"/>
      <c r="N7" s="324"/>
      <c r="O7" s="325">
        <f t="shared" ref="O7:O25" si="5">N7-M7</f>
        <v>0</v>
      </c>
      <c r="P7" s="324"/>
      <c r="Q7" s="326"/>
      <c r="R7" s="327">
        <f t="shared" ref="R7:R25" si="6">Q7-P7</f>
        <v>0</v>
      </c>
      <c r="S7" s="317"/>
    </row>
    <row r="8" spans="1:19" x14ac:dyDescent="0.3">
      <c r="A8" s="1078"/>
      <c r="B8" s="1081"/>
      <c r="C8" s="319" t="s">
        <v>27</v>
      </c>
      <c r="D8" s="320">
        <f t="shared" si="0"/>
        <v>900</v>
      </c>
      <c r="E8" s="321">
        <f t="shared" si="1"/>
        <v>1128.765625019704</v>
      </c>
      <c r="F8" s="322">
        <f t="shared" si="2"/>
        <v>228.76562501970398</v>
      </c>
      <c r="G8" s="323">
        <f t="shared" ref="G8:H15" si="7">G7</f>
        <v>900</v>
      </c>
      <c r="H8" s="324">
        <f t="shared" si="7"/>
        <v>1128.765625019704</v>
      </c>
      <c r="I8" s="325">
        <f t="shared" si="3"/>
        <v>228.76562501970398</v>
      </c>
      <c r="J8" s="324"/>
      <c r="K8" s="324"/>
      <c r="L8" s="325">
        <f t="shared" si="4"/>
        <v>0</v>
      </c>
      <c r="M8" s="324"/>
      <c r="N8" s="324"/>
      <c r="O8" s="325">
        <f t="shared" si="5"/>
        <v>0</v>
      </c>
      <c r="P8" s="324"/>
      <c r="Q8" s="326"/>
      <c r="R8" s="327">
        <f t="shared" si="6"/>
        <v>0</v>
      </c>
      <c r="S8" s="317"/>
    </row>
    <row r="9" spans="1:19" x14ac:dyDescent="0.3">
      <c r="A9" s="1078"/>
      <c r="B9" s="1081"/>
      <c r="C9" s="319" t="s">
        <v>28</v>
      </c>
      <c r="D9" s="320">
        <f t="shared" si="0"/>
        <v>900</v>
      </c>
      <c r="E9" s="321">
        <f t="shared" si="1"/>
        <v>1128.765625019704</v>
      </c>
      <c r="F9" s="322">
        <f t="shared" si="2"/>
        <v>228.76562501970398</v>
      </c>
      <c r="G9" s="323">
        <f t="shared" si="7"/>
        <v>900</v>
      </c>
      <c r="H9" s="324">
        <f t="shared" si="7"/>
        <v>1128.765625019704</v>
      </c>
      <c r="I9" s="325">
        <f t="shared" si="3"/>
        <v>228.76562501970398</v>
      </c>
      <c r="J9" s="324"/>
      <c r="K9" s="324"/>
      <c r="L9" s="325">
        <f t="shared" si="4"/>
        <v>0</v>
      </c>
      <c r="M9" s="324"/>
      <c r="N9" s="324"/>
      <c r="O9" s="325">
        <f t="shared" si="5"/>
        <v>0</v>
      </c>
      <c r="P9" s="324"/>
      <c r="Q9" s="326"/>
      <c r="R9" s="327">
        <f t="shared" si="6"/>
        <v>0</v>
      </c>
      <c r="S9" s="317"/>
    </row>
    <row r="10" spans="1:19" x14ac:dyDescent="0.3">
      <c r="A10" s="1078"/>
      <c r="B10" s="1081"/>
      <c r="C10" s="319" t="s">
        <v>29</v>
      </c>
      <c r="D10" s="320">
        <f t="shared" si="0"/>
        <v>900</v>
      </c>
      <c r="E10" s="321">
        <f t="shared" si="1"/>
        <v>1128.765625019704</v>
      </c>
      <c r="F10" s="322">
        <f t="shared" si="2"/>
        <v>228.76562501970398</v>
      </c>
      <c r="G10" s="323">
        <f t="shared" si="7"/>
        <v>900</v>
      </c>
      <c r="H10" s="324">
        <f t="shared" si="7"/>
        <v>1128.765625019704</v>
      </c>
      <c r="I10" s="325">
        <f t="shared" si="3"/>
        <v>228.76562501970398</v>
      </c>
      <c r="J10" s="324"/>
      <c r="K10" s="324"/>
      <c r="L10" s="325">
        <f t="shared" si="4"/>
        <v>0</v>
      </c>
      <c r="M10" s="324"/>
      <c r="N10" s="324"/>
      <c r="O10" s="325">
        <f t="shared" si="5"/>
        <v>0</v>
      </c>
      <c r="P10" s="324"/>
      <c r="Q10" s="326"/>
      <c r="R10" s="327">
        <f t="shared" si="6"/>
        <v>0</v>
      </c>
      <c r="S10" s="317"/>
    </row>
    <row r="11" spans="1:19" x14ac:dyDescent="0.3">
      <c r="A11" s="1078"/>
      <c r="B11" s="1081"/>
      <c r="C11" s="319" t="s">
        <v>30</v>
      </c>
      <c r="D11" s="320">
        <f t="shared" si="0"/>
        <v>900</v>
      </c>
      <c r="E11" s="321">
        <f t="shared" si="1"/>
        <v>1128.765625019704</v>
      </c>
      <c r="F11" s="322">
        <f t="shared" si="2"/>
        <v>228.76562501970398</v>
      </c>
      <c r="G11" s="323">
        <f t="shared" si="7"/>
        <v>900</v>
      </c>
      <c r="H11" s="324">
        <f t="shared" si="7"/>
        <v>1128.765625019704</v>
      </c>
      <c r="I11" s="325">
        <f t="shared" si="3"/>
        <v>228.76562501970398</v>
      </c>
      <c r="J11" s="324"/>
      <c r="K11" s="324"/>
      <c r="L11" s="325">
        <f t="shared" si="4"/>
        <v>0</v>
      </c>
      <c r="M11" s="324"/>
      <c r="N11" s="324"/>
      <c r="O11" s="325">
        <f t="shared" si="5"/>
        <v>0</v>
      </c>
      <c r="P11" s="324"/>
      <c r="Q11" s="326"/>
      <c r="R11" s="327">
        <f t="shared" si="6"/>
        <v>0</v>
      </c>
      <c r="S11" s="317"/>
    </row>
    <row r="12" spans="1:19" x14ac:dyDescent="0.3">
      <c r="A12" s="1078"/>
      <c r="B12" s="1081"/>
      <c r="C12" s="319" t="s">
        <v>31</v>
      </c>
      <c r="D12" s="320">
        <f t="shared" si="0"/>
        <v>900</v>
      </c>
      <c r="E12" s="321">
        <f t="shared" si="1"/>
        <v>1128.765625019704</v>
      </c>
      <c r="F12" s="322">
        <f t="shared" si="2"/>
        <v>228.76562501970398</v>
      </c>
      <c r="G12" s="323">
        <f t="shared" si="7"/>
        <v>900</v>
      </c>
      <c r="H12" s="324">
        <f t="shared" si="7"/>
        <v>1128.765625019704</v>
      </c>
      <c r="I12" s="325">
        <f t="shared" si="3"/>
        <v>228.76562501970398</v>
      </c>
      <c r="J12" s="324"/>
      <c r="K12" s="324"/>
      <c r="L12" s="325">
        <f t="shared" si="4"/>
        <v>0</v>
      </c>
      <c r="M12" s="324"/>
      <c r="N12" s="324"/>
      <c r="O12" s="325">
        <f t="shared" si="5"/>
        <v>0</v>
      </c>
      <c r="P12" s="324"/>
      <c r="Q12" s="326"/>
      <c r="R12" s="327">
        <f t="shared" si="6"/>
        <v>0</v>
      </c>
      <c r="S12" s="317"/>
    </row>
    <row r="13" spans="1:19" x14ac:dyDescent="0.3">
      <c r="A13" s="1078"/>
      <c r="B13" s="1081"/>
      <c r="C13" s="319" t="s">
        <v>32</v>
      </c>
      <c r="D13" s="320">
        <f t="shared" si="0"/>
        <v>900</v>
      </c>
      <c r="E13" s="321">
        <f t="shared" si="1"/>
        <v>1128.765625019704</v>
      </c>
      <c r="F13" s="322">
        <f t="shared" si="2"/>
        <v>228.76562501970398</v>
      </c>
      <c r="G13" s="323">
        <f t="shared" si="7"/>
        <v>900</v>
      </c>
      <c r="H13" s="324">
        <f t="shared" si="7"/>
        <v>1128.765625019704</v>
      </c>
      <c r="I13" s="325">
        <f t="shared" si="3"/>
        <v>228.76562501970398</v>
      </c>
      <c r="J13" s="324"/>
      <c r="K13" s="324"/>
      <c r="L13" s="325">
        <f t="shared" si="4"/>
        <v>0</v>
      </c>
      <c r="M13" s="324"/>
      <c r="N13" s="324"/>
      <c r="O13" s="325">
        <f t="shared" si="5"/>
        <v>0</v>
      </c>
      <c r="P13" s="324"/>
      <c r="Q13" s="326"/>
      <c r="R13" s="327">
        <f t="shared" si="6"/>
        <v>0</v>
      </c>
      <c r="S13" s="317"/>
    </row>
    <row r="14" spans="1:19" x14ac:dyDescent="0.3">
      <c r="A14" s="1078"/>
      <c r="B14" s="1081"/>
      <c r="C14" s="319" t="s">
        <v>33</v>
      </c>
      <c r="D14" s="320">
        <f t="shared" si="0"/>
        <v>900</v>
      </c>
      <c r="E14" s="321">
        <f t="shared" si="1"/>
        <v>1128.765625019704</v>
      </c>
      <c r="F14" s="322">
        <f t="shared" si="2"/>
        <v>228.76562501970398</v>
      </c>
      <c r="G14" s="323">
        <f t="shared" si="7"/>
        <v>900</v>
      </c>
      <c r="H14" s="324">
        <f t="shared" si="7"/>
        <v>1128.765625019704</v>
      </c>
      <c r="I14" s="325">
        <f t="shared" si="3"/>
        <v>228.76562501970398</v>
      </c>
      <c r="J14" s="324"/>
      <c r="K14" s="324"/>
      <c r="L14" s="325">
        <f t="shared" si="4"/>
        <v>0</v>
      </c>
      <c r="M14" s="324"/>
      <c r="N14" s="324"/>
      <c r="O14" s="325">
        <f t="shared" si="5"/>
        <v>0</v>
      </c>
      <c r="P14" s="324"/>
      <c r="Q14" s="326"/>
      <c r="R14" s="327">
        <f t="shared" si="6"/>
        <v>0</v>
      </c>
      <c r="S14" s="317"/>
    </row>
    <row r="15" spans="1:19" ht="15" thickBot="1" x14ac:dyDescent="0.35">
      <c r="A15" s="1079"/>
      <c r="B15" s="1082"/>
      <c r="C15" s="328" t="s">
        <v>34</v>
      </c>
      <c r="D15" s="329">
        <f t="shared" si="0"/>
        <v>900</v>
      </c>
      <c r="E15" s="330">
        <f t="shared" si="1"/>
        <v>1128.765625019704</v>
      </c>
      <c r="F15" s="331">
        <f t="shared" si="2"/>
        <v>228.76562501970398</v>
      </c>
      <c r="G15" s="332">
        <f t="shared" si="7"/>
        <v>900</v>
      </c>
      <c r="H15" s="333">
        <f t="shared" si="7"/>
        <v>1128.765625019704</v>
      </c>
      <c r="I15" s="334">
        <f t="shared" si="3"/>
        <v>228.76562501970398</v>
      </c>
      <c r="J15" s="333"/>
      <c r="K15" s="333"/>
      <c r="L15" s="334">
        <f t="shared" si="4"/>
        <v>0</v>
      </c>
      <c r="M15" s="333"/>
      <c r="N15" s="333"/>
      <c r="O15" s="334">
        <f t="shared" si="5"/>
        <v>0</v>
      </c>
      <c r="P15" s="333"/>
      <c r="Q15" s="335"/>
      <c r="R15" s="336">
        <f t="shared" si="6"/>
        <v>0</v>
      </c>
      <c r="S15" s="317"/>
    </row>
    <row r="16" spans="1:19" x14ac:dyDescent="0.3">
      <c r="A16" s="1077" t="s">
        <v>324</v>
      </c>
      <c r="B16" s="1080" t="s">
        <v>13</v>
      </c>
      <c r="C16" s="308" t="s">
        <v>25</v>
      </c>
      <c r="D16" s="337"/>
      <c r="E16" s="338"/>
      <c r="F16" s="339"/>
      <c r="G16" s="312">
        <v>0</v>
      </c>
      <c r="H16" s="313">
        <v>0</v>
      </c>
      <c r="I16" s="341">
        <f t="shared" si="3"/>
        <v>0</v>
      </c>
      <c r="J16" s="340"/>
      <c r="K16" s="340"/>
      <c r="L16" s="341">
        <f t="shared" si="4"/>
        <v>0</v>
      </c>
      <c r="M16" s="340"/>
      <c r="N16" s="340"/>
      <c r="O16" s="341">
        <f t="shared" si="5"/>
        <v>0</v>
      </c>
      <c r="P16" s="340"/>
      <c r="Q16" s="342"/>
      <c r="R16" s="343">
        <f t="shared" si="6"/>
        <v>0</v>
      </c>
      <c r="S16" s="317"/>
    </row>
    <row r="17" spans="1:19" x14ac:dyDescent="0.3">
      <c r="A17" s="1078"/>
      <c r="B17" s="1081"/>
      <c r="C17" s="319" t="s">
        <v>26</v>
      </c>
      <c r="D17" s="344"/>
      <c r="E17" s="345"/>
      <c r="F17" s="346"/>
      <c r="G17" s="323">
        <v>0</v>
      </c>
      <c r="H17" s="324">
        <v>0</v>
      </c>
      <c r="I17" s="348">
        <f t="shared" si="3"/>
        <v>0</v>
      </c>
      <c r="J17" s="347"/>
      <c r="K17" s="347"/>
      <c r="L17" s="348">
        <f t="shared" si="4"/>
        <v>0</v>
      </c>
      <c r="M17" s="347"/>
      <c r="N17" s="347"/>
      <c r="O17" s="348">
        <f t="shared" si="5"/>
        <v>0</v>
      </c>
      <c r="P17" s="347"/>
      <c r="Q17" s="349"/>
      <c r="R17" s="350">
        <f t="shared" si="6"/>
        <v>0</v>
      </c>
      <c r="S17" s="317"/>
    </row>
    <row r="18" spans="1:19" x14ac:dyDescent="0.3">
      <c r="A18" s="1078"/>
      <c r="B18" s="1081"/>
      <c r="C18" s="319" t="s">
        <v>27</v>
      </c>
      <c r="D18" s="344"/>
      <c r="E18" s="345"/>
      <c r="F18" s="346"/>
      <c r="G18" s="323">
        <v>0</v>
      </c>
      <c r="H18" s="324">
        <v>0</v>
      </c>
      <c r="I18" s="348">
        <f t="shared" si="3"/>
        <v>0</v>
      </c>
      <c r="J18" s="347"/>
      <c r="K18" s="347"/>
      <c r="L18" s="348">
        <f t="shared" si="4"/>
        <v>0</v>
      </c>
      <c r="M18" s="347"/>
      <c r="N18" s="347"/>
      <c r="O18" s="348">
        <f t="shared" si="5"/>
        <v>0</v>
      </c>
      <c r="P18" s="347"/>
      <c r="Q18" s="349"/>
      <c r="R18" s="350">
        <f t="shared" si="6"/>
        <v>0</v>
      </c>
      <c r="S18" s="317"/>
    </row>
    <row r="19" spans="1:19" x14ac:dyDescent="0.3">
      <c r="A19" s="1078"/>
      <c r="B19" s="1081"/>
      <c r="C19" s="319" t="s">
        <v>28</v>
      </c>
      <c r="D19" s="344"/>
      <c r="E19" s="345"/>
      <c r="F19" s="346"/>
      <c r="G19" s="323">
        <v>0</v>
      </c>
      <c r="H19" s="324">
        <v>0</v>
      </c>
      <c r="I19" s="348">
        <f t="shared" si="3"/>
        <v>0</v>
      </c>
      <c r="J19" s="347"/>
      <c r="K19" s="347"/>
      <c r="L19" s="348">
        <f t="shared" si="4"/>
        <v>0</v>
      </c>
      <c r="M19" s="347"/>
      <c r="N19" s="347"/>
      <c r="O19" s="348">
        <f t="shared" si="5"/>
        <v>0</v>
      </c>
      <c r="P19" s="347"/>
      <c r="Q19" s="349"/>
      <c r="R19" s="350">
        <f t="shared" si="6"/>
        <v>0</v>
      </c>
      <c r="S19" s="317"/>
    </row>
    <row r="20" spans="1:19" x14ac:dyDescent="0.3">
      <c r="A20" s="1078"/>
      <c r="B20" s="1081"/>
      <c r="C20" s="319" t="s">
        <v>29</v>
      </c>
      <c r="D20" s="344"/>
      <c r="E20" s="345"/>
      <c r="F20" s="346"/>
      <c r="G20" s="323">
        <v>0</v>
      </c>
      <c r="H20" s="324">
        <v>0</v>
      </c>
      <c r="I20" s="348">
        <f t="shared" si="3"/>
        <v>0</v>
      </c>
      <c r="J20" s="347"/>
      <c r="K20" s="347"/>
      <c r="L20" s="348">
        <f t="shared" si="4"/>
        <v>0</v>
      </c>
      <c r="M20" s="347"/>
      <c r="N20" s="347"/>
      <c r="O20" s="348">
        <f t="shared" si="5"/>
        <v>0</v>
      </c>
      <c r="P20" s="347"/>
      <c r="Q20" s="349"/>
      <c r="R20" s="350">
        <f t="shared" si="6"/>
        <v>0</v>
      </c>
      <c r="S20" s="317"/>
    </row>
    <row r="21" spans="1:19" x14ac:dyDescent="0.3">
      <c r="A21" s="1078"/>
      <c r="B21" s="1081"/>
      <c r="C21" s="319" t="s">
        <v>30</v>
      </c>
      <c r="D21" s="344"/>
      <c r="E21" s="345"/>
      <c r="F21" s="346"/>
      <c r="G21" s="323">
        <v>0</v>
      </c>
      <c r="H21" s="324">
        <v>0</v>
      </c>
      <c r="I21" s="348">
        <f t="shared" si="3"/>
        <v>0</v>
      </c>
      <c r="J21" s="347"/>
      <c r="K21" s="347"/>
      <c r="L21" s="348">
        <f t="shared" si="4"/>
        <v>0</v>
      </c>
      <c r="M21" s="347"/>
      <c r="N21" s="347"/>
      <c r="O21" s="348">
        <f t="shared" si="5"/>
        <v>0</v>
      </c>
      <c r="P21" s="347"/>
      <c r="Q21" s="349"/>
      <c r="R21" s="350">
        <f t="shared" si="6"/>
        <v>0</v>
      </c>
      <c r="S21" s="317"/>
    </row>
    <row r="22" spans="1:19" x14ac:dyDescent="0.3">
      <c r="A22" s="1078"/>
      <c r="B22" s="1081"/>
      <c r="C22" s="319" t="s">
        <v>31</v>
      </c>
      <c r="D22" s="344"/>
      <c r="E22" s="345"/>
      <c r="F22" s="346"/>
      <c r="G22" s="323">
        <v>0</v>
      </c>
      <c r="H22" s="324">
        <v>0</v>
      </c>
      <c r="I22" s="348">
        <f t="shared" si="3"/>
        <v>0</v>
      </c>
      <c r="J22" s="347"/>
      <c r="K22" s="347"/>
      <c r="L22" s="348">
        <f t="shared" si="4"/>
        <v>0</v>
      </c>
      <c r="M22" s="347"/>
      <c r="N22" s="347"/>
      <c r="O22" s="348">
        <f t="shared" si="5"/>
        <v>0</v>
      </c>
      <c r="P22" s="347"/>
      <c r="Q22" s="349"/>
      <c r="R22" s="350">
        <f t="shared" si="6"/>
        <v>0</v>
      </c>
      <c r="S22" s="317"/>
    </row>
    <row r="23" spans="1:19" x14ac:dyDescent="0.3">
      <c r="A23" s="1078"/>
      <c r="B23" s="1081"/>
      <c r="C23" s="319" t="s">
        <v>32</v>
      </c>
      <c r="D23" s="344"/>
      <c r="E23" s="345"/>
      <c r="F23" s="346"/>
      <c r="G23" s="323">
        <v>0</v>
      </c>
      <c r="H23" s="324">
        <v>0</v>
      </c>
      <c r="I23" s="348">
        <f t="shared" si="3"/>
        <v>0</v>
      </c>
      <c r="J23" s="347"/>
      <c r="K23" s="347"/>
      <c r="L23" s="348">
        <f t="shared" si="4"/>
        <v>0</v>
      </c>
      <c r="M23" s="347"/>
      <c r="N23" s="347"/>
      <c r="O23" s="348">
        <f t="shared" si="5"/>
        <v>0</v>
      </c>
      <c r="P23" s="347"/>
      <c r="Q23" s="349"/>
      <c r="R23" s="350">
        <f t="shared" si="6"/>
        <v>0</v>
      </c>
      <c r="S23" s="317"/>
    </row>
    <row r="24" spans="1:19" x14ac:dyDescent="0.3">
      <c r="A24" s="1078"/>
      <c r="B24" s="1081"/>
      <c r="C24" s="319" t="s">
        <v>33</v>
      </c>
      <c r="D24" s="344"/>
      <c r="E24" s="345"/>
      <c r="F24" s="346"/>
      <c r="G24" s="323">
        <v>0</v>
      </c>
      <c r="H24" s="324">
        <v>0</v>
      </c>
      <c r="I24" s="348">
        <f t="shared" si="3"/>
        <v>0</v>
      </c>
      <c r="J24" s="347"/>
      <c r="K24" s="347"/>
      <c r="L24" s="348">
        <f t="shared" si="4"/>
        <v>0</v>
      </c>
      <c r="M24" s="347"/>
      <c r="N24" s="347"/>
      <c r="O24" s="348">
        <f t="shared" si="5"/>
        <v>0</v>
      </c>
      <c r="P24" s="347"/>
      <c r="Q24" s="349"/>
      <c r="R24" s="350">
        <f t="shared" si="6"/>
        <v>0</v>
      </c>
      <c r="S24" s="317"/>
    </row>
    <row r="25" spans="1:19" ht="15" thickBot="1" x14ac:dyDescent="0.35">
      <c r="A25" s="1079"/>
      <c r="B25" s="1082"/>
      <c r="C25" s="328" t="s">
        <v>34</v>
      </c>
      <c r="D25" s="351"/>
      <c r="E25" s="352"/>
      <c r="F25" s="353"/>
      <c r="G25" s="332">
        <v>0</v>
      </c>
      <c r="H25" s="333">
        <v>0</v>
      </c>
      <c r="I25" s="355">
        <f t="shared" si="3"/>
        <v>0</v>
      </c>
      <c r="J25" s="354"/>
      <c r="K25" s="354"/>
      <c r="L25" s="355">
        <f t="shared" si="4"/>
        <v>0</v>
      </c>
      <c r="M25" s="354"/>
      <c r="N25" s="354"/>
      <c r="O25" s="355">
        <f t="shared" si="5"/>
        <v>0</v>
      </c>
      <c r="P25" s="354"/>
      <c r="Q25" s="356"/>
      <c r="R25" s="357">
        <f t="shared" si="6"/>
        <v>0</v>
      </c>
      <c r="S25" s="317"/>
    </row>
    <row r="26" spans="1:19" s="359" customFormat="1" ht="14.25" customHeight="1" x14ac:dyDescent="0.3">
      <c r="A26" s="1077" t="s">
        <v>42</v>
      </c>
      <c r="B26" s="1080" t="s">
        <v>13</v>
      </c>
      <c r="C26" s="308" t="s">
        <v>25</v>
      </c>
      <c r="D26" s="337"/>
      <c r="E26" s="338"/>
      <c r="F26" s="339"/>
      <c r="G26" s="312">
        <v>0</v>
      </c>
      <c r="H26" s="313">
        <v>0</v>
      </c>
      <c r="I26" s="341">
        <f>H26-G26</f>
        <v>0</v>
      </c>
      <c r="J26" s="340"/>
      <c r="K26" s="340"/>
      <c r="L26" s="341">
        <f>K26-J26</f>
        <v>0</v>
      </c>
      <c r="M26" s="340"/>
      <c r="N26" s="340"/>
      <c r="O26" s="341">
        <f>N26-M26</f>
        <v>0</v>
      </c>
      <c r="P26" s="340"/>
      <c r="Q26" s="342"/>
      <c r="R26" s="343">
        <f>Q26-P26</f>
        <v>0</v>
      </c>
      <c r="S26" s="358"/>
    </row>
    <row r="27" spans="1:19" s="361" customFormat="1" x14ac:dyDescent="0.3">
      <c r="A27" s="1078"/>
      <c r="B27" s="1081"/>
      <c r="C27" s="319" t="s">
        <v>26</v>
      </c>
      <c r="D27" s="344"/>
      <c r="E27" s="345"/>
      <c r="F27" s="346"/>
      <c r="G27" s="323">
        <v>0</v>
      </c>
      <c r="H27" s="324">
        <v>0</v>
      </c>
      <c r="I27" s="348">
        <f t="shared" ref="I27:I44" si="8">H27-G27</f>
        <v>0</v>
      </c>
      <c r="J27" s="347"/>
      <c r="K27" s="347"/>
      <c r="L27" s="348">
        <f t="shared" ref="L27:L44" si="9">K27-J27</f>
        <v>0</v>
      </c>
      <c r="M27" s="347"/>
      <c r="N27" s="347"/>
      <c r="O27" s="348">
        <f t="shared" ref="O27:O44" si="10">N27-M27</f>
        <v>0</v>
      </c>
      <c r="P27" s="347"/>
      <c r="Q27" s="349"/>
      <c r="R27" s="350">
        <f t="shared" ref="R27:R54" si="11">Q27-P27</f>
        <v>0</v>
      </c>
      <c r="S27" s="360"/>
    </row>
    <row r="28" spans="1:19" s="361" customFormat="1" x14ac:dyDescent="0.3">
      <c r="A28" s="1078"/>
      <c r="B28" s="1081"/>
      <c r="C28" s="319" t="s">
        <v>27</v>
      </c>
      <c r="D28" s="344"/>
      <c r="E28" s="345"/>
      <c r="F28" s="346"/>
      <c r="G28" s="323">
        <v>0</v>
      </c>
      <c r="H28" s="324">
        <v>0</v>
      </c>
      <c r="I28" s="348">
        <f t="shared" si="8"/>
        <v>0</v>
      </c>
      <c r="J28" s="347"/>
      <c r="K28" s="347"/>
      <c r="L28" s="348">
        <f t="shared" si="9"/>
        <v>0</v>
      </c>
      <c r="M28" s="347"/>
      <c r="N28" s="347"/>
      <c r="O28" s="348">
        <f t="shared" si="10"/>
        <v>0</v>
      </c>
      <c r="P28" s="347"/>
      <c r="Q28" s="349"/>
      <c r="R28" s="350">
        <f t="shared" si="11"/>
        <v>0</v>
      </c>
      <c r="S28" s="360"/>
    </row>
    <row r="29" spans="1:19" s="361" customFormat="1" x14ac:dyDescent="0.3">
      <c r="A29" s="1078"/>
      <c r="B29" s="1081"/>
      <c r="C29" s="319" t="s">
        <v>28</v>
      </c>
      <c r="D29" s="344"/>
      <c r="E29" s="345"/>
      <c r="F29" s="346"/>
      <c r="G29" s="323">
        <v>0</v>
      </c>
      <c r="H29" s="324">
        <v>0</v>
      </c>
      <c r="I29" s="348">
        <f t="shared" si="8"/>
        <v>0</v>
      </c>
      <c r="J29" s="347"/>
      <c r="K29" s="347"/>
      <c r="L29" s="348">
        <f t="shared" si="9"/>
        <v>0</v>
      </c>
      <c r="M29" s="347"/>
      <c r="N29" s="347"/>
      <c r="O29" s="348">
        <f t="shared" si="10"/>
        <v>0</v>
      </c>
      <c r="P29" s="347"/>
      <c r="Q29" s="349"/>
      <c r="R29" s="350">
        <f t="shared" si="11"/>
        <v>0</v>
      </c>
      <c r="S29" s="360"/>
    </row>
    <row r="30" spans="1:19" s="361" customFormat="1" x14ac:dyDescent="0.3">
      <c r="A30" s="1078"/>
      <c r="B30" s="1081"/>
      <c r="C30" s="319" t="s">
        <v>29</v>
      </c>
      <c r="D30" s="344"/>
      <c r="E30" s="345"/>
      <c r="F30" s="346"/>
      <c r="G30" s="323">
        <v>0</v>
      </c>
      <c r="H30" s="324">
        <v>0</v>
      </c>
      <c r="I30" s="348">
        <f t="shared" si="8"/>
        <v>0</v>
      </c>
      <c r="J30" s="347"/>
      <c r="K30" s="347"/>
      <c r="L30" s="348">
        <f t="shared" si="9"/>
        <v>0</v>
      </c>
      <c r="M30" s="347"/>
      <c r="N30" s="347"/>
      <c r="O30" s="348">
        <f t="shared" si="10"/>
        <v>0</v>
      </c>
      <c r="P30" s="347"/>
      <c r="Q30" s="349"/>
      <c r="R30" s="350">
        <f t="shared" si="11"/>
        <v>0</v>
      </c>
      <c r="S30" s="360"/>
    </row>
    <row r="31" spans="1:19" s="361" customFormat="1" x14ac:dyDescent="0.3">
      <c r="A31" s="1078"/>
      <c r="B31" s="1081"/>
      <c r="C31" s="319" t="s">
        <v>30</v>
      </c>
      <c r="D31" s="344"/>
      <c r="E31" s="345"/>
      <c r="F31" s="346"/>
      <c r="G31" s="323">
        <v>0</v>
      </c>
      <c r="H31" s="324">
        <v>0</v>
      </c>
      <c r="I31" s="348">
        <f t="shared" si="8"/>
        <v>0</v>
      </c>
      <c r="J31" s="347"/>
      <c r="K31" s="347"/>
      <c r="L31" s="348">
        <f t="shared" si="9"/>
        <v>0</v>
      </c>
      <c r="M31" s="347"/>
      <c r="N31" s="347"/>
      <c r="O31" s="348">
        <f t="shared" si="10"/>
        <v>0</v>
      </c>
      <c r="P31" s="347"/>
      <c r="Q31" s="349"/>
      <c r="R31" s="350">
        <f t="shared" si="11"/>
        <v>0</v>
      </c>
      <c r="S31" s="360"/>
    </row>
    <row r="32" spans="1:19" s="361" customFormat="1" x14ac:dyDescent="0.3">
      <c r="A32" s="1078"/>
      <c r="B32" s="1081"/>
      <c r="C32" s="319" t="s">
        <v>31</v>
      </c>
      <c r="D32" s="344"/>
      <c r="E32" s="345"/>
      <c r="F32" s="346"/>
      <c r="G32" s="323">
        <v>0</v>
      </c>
      <c r="H32" s="324">
        <v>0</v>
      </c>
      <c r="I32" s="348">
        <f t="shared" si="8"/>
        <v>0</v>
      </c>
      <c r="J32" s="347"/>
      <c r="K32" s="347"/>
      <c r="L32" s="348">
        <f t="shared" si="9"/>
        <v>0</v>
      </c>
      <c r="M32" s="347"/>
      <c r="N32" s="347"/>
      <c r="O32" s="348">
        <f t="shared" si="10"/>
        <v>0</v>
      </c>
      <c r="P32" s="347"/>
      <c r="Q32" s="349"/>
      <c r="R32" s="350">
        <f t="shared" si="11"/>
        <v>0</v>
      </c>
      <c r="S32" s="360"/>
    </row>
    <row r="33" spans="1:19" s="361" customFormat="1" x14ac:dyDescent="0.3">
      <c r="A33" s="1078"/>
      <c r="B33" s="1081"/>
      <c r="C33" s="319" t="s">
        <v>32</v>
      </c>
      <c r="D33" s="344"/>
      <c r="E33" s="345"/>
      <c r="F33" s="346"/>
      <c r="G33" s="323">
        <v>0</v>
      </c>
      <c r="H33" s="324">
        <v>0</v>
      </c>
      <c r="I33" s="348">
        <f t="shared" si="8"/>
        <v>0</v>
      </c>
      <c r="J33" s="347"/>
      <c r="K33" s="347"/>
      <c r="L33" s="348">
        <f t="shared" si="9"/>
        <v>0</v>
      </c>
      <c r="M33" s="347"/>
      <c r="N33" s="347"/>
      <c r="O33" s="348">
        <f t="shared" si="10"/>
        <v>0</v>
      </c>
      <c r="P33" s="347"/>
      <c r="Q33" s="349"/>
      <c r="R33" s="350">
        <f t="shared" si="11"/>
        <v>0</v>
      </c>
      <c r="S33" s="360"/>
    </row>
    <row r="34" spans="1:19" s="361" customFormat="1" x14ac:dyDescent="0.3">
      <c r="A34" s="1078"/>
      <c r="B34" s="1081"/>
      <c r="C34" s="319" t="s">
        <v>33</v>
      </c>
      <c r="D34" s="344"/>
      <c r="E34" s="345"/>
      <c r="F34" s="346"/>
      <c r="G34" s="323">
        <v>0</v>
      </c>
      <c r="H34" s="324">
        <v>0</v>
      </c>
      <c r="I34" s="348">
        <f t="shared" si="8"/>
        <v>0</v>
      </c>
      <c r="J34" s="347"/>
      <c r="K34" s="347"/>
      <c r="L34" s="348">
        <f t="shared" si="9"/>
        <v>0</v>
      </c>
      <c r="M34" s="347"/>
      <c r="N34" s="347"/>
      <c r="O34" s="348">
        <f t="shared" si="10"/>
        <v>0</v>
      </c>
      <c r="P34" s="347"/>
      <c r="Q34" s="349"/>
      <c r="R34" s="350">
        <f t="shared" si="11"/>
        <v>0</v>
      </c>
      <c r="S34" s="360"/>
    </row>
    <row r="35" spans="1:19" s="361" customFormat="1" ht="15" thickBot="1" x14ac:dyDescent="0.35">
      <c r="A35" s="1079"/>
      <c r="B35" s="1082"/>
      <c r="C35" s="328" t="s">
        <v>34</v>
      </c>
      <c r="D35" s="351"/>
      <c r="E35" s="352"/>
      <c r="F35" s="353"/>
      <c r="G35" s="332">
        <v>0</v>
      </c>
      <c r="H35" s="333">
        <v>0</v>
      </c>
      <c r="I35" s="355">
        <f t="shared" si="8"/>
        <v>0</v>
      </c>
      <c r="J35" s="354"/>
      <c r="K35" s="354"/>
      <c r="L35" s="355">
        <f t="shared" si="9"/>
        <v>0</v>
      </c>
      <c r="M35" s="354"/>
      <c r="N35" s="354"/>
      <c r="O35" s="355">
        <f t="shared" si="10"/>
        <v>0</v>
      </c>
      <c r="P35" s="354"/>
      <c r="Q35" s="356"/>
      <c r="R35" s="357">
        <f t="shared" si="11"/>
        <v>0</v>
      </c>
      <c r="S35" s="360"/>
    </row>
    <row r="36" spans="1:19" s="359" customFormat="1" ht="14.4" customHeight="1" x14ac:dyDescent="0.3">
      <c r="A36" s="1077" t="s">
        <v>185</v>
      </c>
      <c r="B36" s="1080" t="s">
        <v>179</v>
      </c>
      <c r="C36" s="308" t="s">
        <v>25</v>
      </c>
      <c r="D36" s="337"/>
      <c r="E36" s="338"/>
      <c r="F36" s="339"/>
      <c r="G36" s="312">
        <v>0</v>
      </c>
      <c r="H36" s="313">
        <v>0</v>
      </c>
      <c r="I36" s="341">
        <f t="shared" si="8"/>
        <v>0</v>
      </c>
      <c r="J36" s="340">
        <v>0</v>
      </c>
      <c r="K36" s="340">
        <v>0</v>
      </c>
      <c r="L36" s="341">
        <f t="shared" si="9"/>
        <v>0</v>
      </c>
      <c r="M36" s="340">
        <v>0</v>
      </c>
      <c r="N36" s="340">
        <v>0</v>
      </c>
      <c r="O36" s="341">
        <f t="shared" si="10"/>
        <v>0</v>
      </c>
      <c r="P36" s="340"/>
      <c r="Q36" s="342"/>
      <c r="R36" s="343">
        <f t="shared" si="11"/>
        <v>0</v>
      </c>
      <c r="S36" s="358">
        <f>'Analyza citlivosti - AgendovéIS'!N7</f>
        <v>0</v>
      </c>
    </row>
    <row r="37" spans="1:19" s="361" customFormat="1" x14ac:dyDescent="0.3">
      <c r="A37" s="1078"/>
      <c r="B37" s="1081"/>
      <c r="C37" s="319" t="s">
        <v>26</v>
      </c>
      <c r="D37" s="344"/>
      <c r="E37" s="345"/>
      <c r="F37" s="346"/>
      <c r="G37" s="323">
        <v>0</v>
      </c>
      <c r="H37" s="324">
        <v>0</v>
      </c>
      <c r="I37" s="348">
        <f t="shared" si="8"/>
        <v>0</v>
      </c>
      <c r="J37" s="347">
        <v>0</v>
      </c>
      <c r="K37" s="347">
        <v>0</v>
      </c>
      <c r="L37" s="348">
        <f t="shared" si="9"/>
        <v>0</v>
      </c>
      <c r="M37" s="347">
        <v>0</v>
      </c>
      <c r="N37" s="347">
        <v>0</v>
      </c>
      <c r="O37" s="348">
        <f t="shared" si="10"/>
        <v>0</v>
      </c>
      <c r="P37" s="347"/>
      <c r="Q37" s="349"/>
      <c r="R37" s="350">
        <f t="shared" si="11"/>
        <v>0</v>
      </c>
      <c r="S37" s="360"/>
    </row>
    <row r="38" spans="1:19" s="361" customFormat="1" x14ac:dyDescent="0.3">
      <c r="A38" s="1078"/>
      <c r="B38" s="1081"/>
      <c r="C38" s="319" t="s">
        <v>27</v>
      </c>
      <c r="D38" s="344"/>
      <c r="E38" s="345"/>
      <c r="F38" s="346"/>
      <c r="G38" s="323">
        <v>0</v>
      </c>
      <c r="H38" s="324">
        <v>0</v>
      </c>
      <c r="I38" s="348">
        <f t="shared" si="8"/>
        <v>0</v>
      </c>
      <c r="J38" s="347">
        <v>0</v>
      </c>
      <c r="K38" s="347">
        <v>0</v>
      </c>
      <c r="L38" s="348">
        <f t="shared" si="9"/>
        <v>0</v>
      </c>
      <c r="M38" s="347">
        <v>0</v>
      </c>
      <c r="N38" s="347">
        <v>0</v>
      </c>
      <c r="O38" s="348">
        <f t="shared" si="10"/>
        <v>0</v>
      </c>
      <c r="P38" s="347"/>
      <c r="Q38" s="349"/>
      <c r="R38" s="350">
        <f t="shared" si="11"/>
        <v>0</v>
      </c>
      <c r="S38" s="360"/>
    </row>
    <row r="39" spans="1:19" s="361" customFormat="1" x14ac:dyDescent="0.3">
      <c r="A39" s="1078"/>
      <c r="B39" s="1081"/>
      <c r="C39" s="319" t="s">
        <v>28</v>
      </c>
      <c r="D39" s="344"/>
      <c r="E39" s="345"/>
      <c r="F39" s="346"/>
      <c r="G39" s="323">
        <v>0</v>
      </c>
      <c r="H39" s="324">
        <v>0</v>
      </c>
      <c r="I39" s="348">
        <f t="shared" si="8"/>
        <v>0</v>
      </c>
      <c r="J39" s="347">
        <v>0</v>
      </c>
      <c r="K39" s="347">
        <v>0</v>
      </c>
      <c r="L39" s="348">
        <f t="shared" si="9"/>
        <v>0</v>
      </c>
      <c r="M39" s="347">
        <v>0</v>
      </c>
      <c r="N39" s="347">
        <v>0</v>
      </c>
      <c r="O39" s="348">
        <f t="shared" si="10"/>
        <v>0</v>
      </c>
      <c r="P39" s="347"/>
      <c r="Q39" s="349"/>
      <c r="R39" s="350">
        <f t="shared" si="11"/>
        <v>0</v>
      </c>
      <c r="S39" s="360"/>
    </row>
    <row r="40" spans="1:19" s="361" customFormat="1" x14ac:dyDescent="0.3">
      <c r="A40" s="1078"/>
      <c r="B40" s="1081"/>
      <c r="C40" s="319" t="s">
        <v>29</v>
      </c>
      <c r="D40" s="344"/>
      <c r="E40" s="345"/>
      <c r="F40" s="346"/>
      <c r="G40" s="323">
        <v>0</v>
      </c>
      <c r="H40" s="324">
        <v>0</v>
      </c>
      <c r="I40" s="348">
        <f t="shared" si="8"/>
        <v>0</v>
      </c>
      <c r="J40" s="347">
        <v>0</v>
      </c>
      <c r="K40" s="347">
        <v>0</v>
      </c>
      <c r="L40" s="348">
        <f t="shared" si="9"/>
        <v>0</v>
      </c>
      <c r="M40" s="347">
        <v>0</v>
      </c>
      <c r="N40" s="347">
        <v>0</v>
      </c>
      <c r="O40" s="348">
        <f t="shared" si="10"/>
        <v>0</v>
      </c>
      <c r="P40" s="347"/>
      <c r="Q40" s="349"/>
      <c r="R40" s="350">
        <f t="shared" si="11"/>
        <v>0</v>
      </c>
      <c r="S40" s="360"/>
    </row>
    <row r="41" spans="1:19" s="361" customFormat="1" x14ac:dyDescent="0.3">
      <c r="A41" s="1078"/>
      <c r="B41" s="1081"/>
      <c r="C41" s="319" t="s">
        <v>30</v>
      </c>
      <c r="D41" s="344"/>
      <c r="E41" s="345"/>
      <c r="F41" s="346"/>
      <c r="G41" s="323">
        <v>0</v>
      </c>
      <c r="H41" s="324">
        <v>0</v>
      </c>
      <c r="I41" s="348">
        <f t="shared" si="8"/>
        <v>0</v>
      </c>
      <c r="J41" s="347">
        <v>0</v>
      </c>
      <c r="K41" s="347">
        <v>0</v>
      </c>
      <c r="L41" s="348">
        <f t="shared" si="9"/>
        <v>0</v>
      </c>
      <c r="M41" s="347">
        <v>0</v>
      </c>
      <c r="N41" s="347">
        <v>0</v>
      </c>
      <c r="O41" s="348">
        <f t="shared" si="10"/>
        <v>0</v>
      </c>
      <c r="P41" s="347"/>
      <c r="Q41" s="349"/>
      <c r="R41" s="350">
        <f t="shared" si="11"/>
        <v>0</v>
      </c>
      <c r="S41" s="360"/>
    </row>
    <row r="42" spans="1:19" s="361" customFormat="1" x14ac:dyDescent="0.3">
      <c r="A42" s="1078"/>
      <c r="B42" s="1081"/>
      <c r="C42" s="319" t="s">
        <v>31</v>
      </c>
      <c r="D42" s="344"/>
      <c r="E42" s="345"/>
      <c r="F42" s="346"/>
      <c r="G42" s="323">
        <v>0</v>
      </c>
      <c r="H42" s="324">
        <v>0</v>
      </c>
      <c r="I42" s="348">
        <f t="shared" si="8"/>
        <v>0</v>
      </c>
      <c r="J42" s="347">
        <v>0</v>
      </c>
      <c r="K42" s="347">
        <v>0</v>
      </c>
      <c r="L42" s="348">
        <f t="shared" si="9"/>
        <v>0</v>
      </c>
      <c r="M42" s="347">
        <v>0</v>
      </c>
      <c r="N42" s="347">
        <v>0</v>
      </c>
      <c r="O42" s="348">
        <f t="shared" si="10"/>
        <v>0</v>
      </c>
      <c r="P42" s="347"/>
      <c r="Q42" s="349"/>
      <c r="R42" s="350">
        <f t="shared" si="11"/>
        <v>0</v>
      </c>
      <c r="S42" s="360"/>
    </row>
    <row r="43" spans="1:19" s="361" customFormat="1" x14ac:dyDescent="0.3">
      <c r="A43" s="1078"/>
      <c r="B43" s="1081"/>
      <c r="C43" s="319" t="s">
        <v>32</v>
      </c>
      <c r="D43" s="344"/>
      <c r="E43" s="345"/>
      <c r="F43" s="346"/>
      <c r="G43" s="323">
        <v>0</v>
      </c>
      <c r="H43" s="324">
        <v>0</v>
      </c>
      <c r="I43" s="348">
        <f t="shared" si="8"/>
        <v>0</v>
      </c>
      <c r="J43" s="347">
        <v>0</v>
      </c>
      <c r="K43" s="347">
        <v>0</v>
      </c>
      <c r="L43" s="348">
        <f t="shared" si="9"/>
        <v>0</v>
      </c>
      <c r="M43" s="347">
        <v>0</v>
      </c>
      <c r="N43" s="347">
        <v>0</v>
      </c>
      <c r="O43" s="348">
        <f t="shared" si="10"/>
        <v>0</v>
      </c>
      <c r="P43" s="347"/>
      <c r="Q43" s="349"/>
      <c r="R43" s="350">
        <f t="shared" si="11"/>
        <v>0</v>
      </c>
      <c r="S43" s="360"/>
    </row>
    <row r="44" spans="1:19" s="361" customFormat="1" x14ac:dyDescent="0.3">
      <c r="A44" s="1078"/>
      <c r="B44" s="1081"/>
      <c r="C44" s="319" t="s">
        <v>33</v>
      </c>
      <c r="D44" s="344"/>
      <c r="E44" s="345"/>
      <c r="F44" s="346"/>
      <c r="G44" s="323">
        <v>0</v>
      </c>
      <c r="H44" s="324">
        <v>0</v>
      </c>
      <c r="I44" s="348">
        <f t="shared" si="8"/>
        <v>0</v>
      </c>
      <c r="J44" s="347">
        <v>0</v>
      </c>
      <c r="K44" s="347">
        <v>0</v>
      </c>
      <c r="L44" s="348">
        <f t="shared" si="9"/>
        <v>0</v>
      </c>
      <c r="M44" s="347">
        <v>0</v>
      </c>
      <c r="N44" s="347">
        <v>0</v>
      </c>
      <c r="O44" s="348">
        <f t="shared" si="10"/>
        <v>0</v>
      </c>
      <c r="P44" s="347"/>
      <c r="Q44" s="349"/>
      <c r="R44" s="350">
        <f t="shared" si="11"/>
        <v>0</v>
      </c>
      <c r="S44" s="360"/>
    </row>
    <row r="45" spans="1:19" s="361" customFormat="1" ht="15" thickBot="1" x14ac:dyDescent="0.35">
      <c r="A45" s="1079"/>
      <c r="B45" s="1082"/>
      <c r="C45" s="328" t="s">
        <v>34</v>
      </c>
      <c r="D45" s="351"/>
      <c r="E45" s="352"/>
      <c r="F45" s="353"/>
      <c r="G45" s="332">
        <v>0</v>
      </c>
      <c r="H45" s="333">
        <v>0</v>
      </c>
      <c r="I45" s="355">
        <f>H45-G45</f>
        <v>0</v>
      </c>
      <c r="J45" s="354">
        <v>0</v>
      </c>
      <c r="K45" s="354">
        <v>0</v>
      </c>
      <c r="L45" s="355">
        <f>K45-J45</f>
        <v>0</v>
      </c>
      <c r="M45" s="354">
        <v>0</v>
      </c>
      <c r="N45" s="354">
        <v>0</v>
      </c>
      <c r="O45" s="355">
        <f>N45-M45</f>
        <v>0</v>
      </c>
      <c r="P45" s="354"/>
      <c r="Q45" s="356"/>
      <c r="R45" s="357">
        <f>Q45-P45</f>
        <v>0</v>
      </c>
      <c r="S45" s="360"/>
    </row>
    <row r="46" spans="1:19" s="359" customFormat="1" ht="14.4" customHeight="1" x14ac:dyDescent="0.3">
      <c r="A46" s="1077" t="s">
        <v>184</v>
      </c>
      <c r="B46" s="1080" t="s">
        <v>38</v>
      </c>
      <c r="C46" s="308" t="s">
        <v>25</v>
      </c>
      <c r="D46" s="337">
        <f t="shared" ref="D46:D55" si="12">SUM(G46,J46,M46,P46)</f>
        <v>0</v>
      </c>
      <c r="E46" s="338">
        <f t="shared" ref="E46:E55" si="13">SUM(H46,K46,N46,Q46)</f>
        <v>0</v>
      </c>
      <c r="F46" s="339">
        <f>D46-E46</f>
        <v>0</v>
      </c>
      <c r="G46" s="312">
        <v>0</v>
      </c>
      <c r="H46" s="313">
        <v>0</v>
      </c>
      <c r="I46" s="341">
        <f t="shared" ref="I46:I54" si="14">H46-G46</f>
        <v>0</v>
      </c>
      <c r="J46" s="340"/>
      <c r="K46" s="340"/>
      <c r="L46" s="341">
        <f t="shared" ref="L46:L54" si="15">K46-J46</f>
        <v>0</v>
      </c>
      <c r="M46" s="340"/>
      <c r="N46" s="340"/>
      <c r="O46" s="341">
        <f t="shared" ref="O46:O54" si="16">N46-M46</f>
        <v>0</v>
      </c>
      <c r="P46" s="340">
        <v>0</v>
      </c>
      <c r="Q46" s="342">
        <v>0</v>
      </c>
      <c r="R46" s="343">
        <f t="shared" si="11"/>
        <v>0</v>
      </c>
      <c r="S46" s="358">
        <f>'Analyza citlivosti - AgendovéIS'!Q7</f>
        <v>0</v>
      </c>
    </row>
    <row r="47" spans="1:19" s="361" customFormat="1" x14ac:dyDescent="0.3">
      <c r="A47" s="1078"/>
      <c r="B47" s="1081"/>
      <c r="C47" s="319" t="s">
        <v>26</v>
      </c>
      <c r="D47" s="344">
        <f t="shared" si="12"/>
        <v>0</v>
      </c>
      <c r="E47" s="345">
        <f t="shared" si="13"/>
        <v>0</v>
      </c>
      <c r="F47" s="346">
        <f t="shared" ref="F47:F55" si="17">D47-E47</f>
        <v>0</v>
      </c>
      <c r="G47" s="323">
        <v>0</v>
      </c>
      <c r="H47" s="324">
        <v>0</v>
      </c>
      <c r="I47" s="348">
        <f t="shared" si="14"/>
        <v>0</v>
      </c>
      <c r="J47" s="347"/>
      <c r="K47" s="347"/>
      <c r="L47" s="348">
        <f t="shared" si="15"/>
        <v>0</v>
      </c>
      <c r="M47" s="347"/>
      <c r="N47" s="347"/>
      <c r="O47" s="348">
        <f t="shared" si="16"/>
        <v>0</v>
      </c>
      <c r="P47" s="347">
        <v>0</v>
      </c>
      <c r="Q47" s="349">
        <v>0</v>
      </c>
      <c r="R47" s="350">
        <f t="shared" si="11"/>
        <v>0</v>
      </c>
      <c r="S47" s="360"/>
    </row>
    <row r="48" spans="1:19" s="361" customFormat="1" x14ac:dyDescent="0.3">
      <c r="A48" s="1078"/>
      <c r="B48" s="1081"/>
      <c r="C48" s="319" t="s">
        <v>27</v>
      </c>
      <c r="D48" s="344">
        <f t="shared" si="12"/>
        <v>0</v>
      </c>
      <c r="E48" s="345">
        <f t="shared" si="13"/>
        <v>0</v>
      </c>
      <c r="F48" s="346">
        <f t="shared" si="17"/>
        <v>0</v>
      </c>
      <c r="G48" s="323">
        <v>0</v>
      </c>
      <c r="H48" s="324">
        <v>0</v>
      </c>
      <c r="I48" s="348">
        <f t="shared" si="14"/>
        <v>0</v>
      </c>
      <c r="J48" s="347"/>
      <c r="K48" s="347"/>
      <c r="L48" s="348">
        <f t="shared" si="15"/>
        <v>0</v>
      </c>
      <c r="M48" s="347"/>
      <c r="N48" s="347"/>
      <c r="O48" s="348">
        <f t="shared" si="16"/>
        <v>0</v>
      </c>
      <c r="P48" s="347">
        <v>0</v>
      </c>
      <c r="Q48" s="349">
        <v>0</v>
      </c>
      <c r="R48" s="350">
        <f t="shared" si="11"/>
        <v>0</v>
      </c>
      <c r="S48" s="360"/>
    </row>
    <row r="49" spans="1:19" s="361" customFormat="1" x14ac:dyDescent="0.3">
      <c r="A49" s="1078"/>
      <c r="B49" s="1081"/>
      <c r="C49" s="319" t="s">
        <v>28</v>
      </c>
      <c r="D49" s="344">
        <f t="shared" si="12"/>
        <v>0</v>
      </c>
      <c r="E49" s="345">
        <f t="shared" si="13"/>
        <v>0</v>
      </c>
      <c r="F49" s="346">
        <f t="shared" si="17"/>
        <v>0</v>
      </c>
      <c r="G49" s="323">
        <v>0</v>
      </c>
      <c r="H49" s="324">
        <v>0</v>
      </c>
      <c r="I49" s="348">
        <f t="shared" si="14"/>
        <v>0</v>
      </c>
      <c r="J49" s="347"/>
      <c r="K49" s="347"/>
      <c r="L49" s="348">
        <f t="shared" si="15"/>
        <v>0</v>
      </c>
      <c r="M49" s="347"/>
      <c r="N49" s="347"/>
      <c r="O49" s="348">
        <f t="shared" si="16"/>
        <v>0</v>
      </c>
      <c r="P49" s="347">
        <v>0</v>
      </c>
      <c r="Q49" s="349">
        <v>0</v>
      </c>
      <c r="R49" s="350">
        <f t="shared" si="11"/>
        <v>0</v>
      </c>
      <c r="S49" s="360"/>
    </row>
    <row r="50" spans="1:19" s="361" customFormat="1" x14ac:dyDescent="0.3">
      <c r="A50" s="1078"/>
      <c r="B50" s="1081"/>
      <c r="C50" s="319" t="s">
        <v>29</v>
      </c>
      <c r="D50" s="344">
        <f t="shared" si="12"/>
        <v>0</v>
      </c>
      <c r="E50" s="345">
        <f t="shared" si="13"/>
        <v>0</v>
      </c>
      <c r="F50" s="346">
        <f t="shared" si="17"/>
        <v>0</v>
      </c>
      <c r="G50" s="323">
        <v>0</v>
      </c>
      <c r="H50" s="324">
        <v>0</v>
      </c>
      <c r="I50" s="348">
        <f t="shared" si="14"/>
        <v>0</v>
      </c>
      <c r="J50" s="347"/>
      <c r="K50" s="347"/>
      <c r="L50" s="348">
        <f t="shared" si="15"/>
        <v>0</v>
      </c>
      <c r="M50" s="347"/>
      <c r="N50" s="347"/>
      <c r="O50" s="348">
        <f t="shared" si="16"/>
        <v>0</v>
      </c>
      <c r="P50" s="347">
        <v>0</v>
      </c>
      <c r="Q50" s="349">
        <v>0</v>
      </c>
      <c r="R50" s="350">
        <f t="shared" si="11"/>
        <v>0</v>
      </c>
      <c r="S50" s="360"/>
    </row>
    <row r="51" spans="1:19" s="361" customFormat="1" x14ac:dyDescent="0.3">
      <c r="A51" s="1078"/>
      <c r="B51" s="1081"/>
      <c r="C51" s="319" t="s">
        <v>30</v>
      </c>
      <c r="D51" s="344">
        <f t="shared" si="12"/>
        <v>0</v>
      </c>
      <c r="E51" s="345">
        <f t="shared" si="13"/>
        <v>0</v>
      </c>
      <c r="F51" s="346">
        <f t="shared" si="17"/>
        <v>0</v>
      </c>
      <c r="G51" s="323">
        <v>0</v>
      </c>
      <c r="H51" s="324">
        <v>0</v>
      </c>
      <c r="I51" s="348">
        <f t="shared" si="14"/>
        <v>0</v>
      </c>
      <c r="J51" s="347"/>
      <c r="K51" s="347"/>
      <c r="L51" s="348">
        <f t="shared" si="15"/>
        <v>0</v>
      </c>
      <c r="M51" s="347"/>
      <c r="N51" s="347"/>
      <c r="O51" s="348">
        <f t="shared" si="16"/>
        <v>0</v>
      </c>
      <c r="P51" s="347">
        <v>0</v>
      </c>
      <c r="Q51" s="349">
        <v>0</v>
      </c>
      <c r="R51" s="350">
        <f t="shared" si="11"/>
        <v>0</v>
      </c>
      <c r="S51" s="360"/>
    </row>
    <row r="52" spans="1:19" s="361" customFormat="1" x14ac:dyDescent="0.3">
      <c r="A52" s="1078"/>
      <c r="B52" s="1081"/>
      <c r="C52" s="319" t="s">
        <v>31</v>
      </c>
      <c r="D52" s="344">
        <f t="shared" si="12"/>
        <v>0</v>
      </c>
      <c r="E52" s="345">
        <f t="shared" si="13"/>
        <v>0</v>
      </c>
      <c r="F52" s="346">
        <f t="shared" si="17"/>
        <v>0</v>
      </c>
      <c r="G52" s="323">
        <v>0</v>
      </c>
      <c r="H52" s="324">
        <v>0</v>
      </c>
      <c r="I52" s="348">
        <f t="shared" si="14"/>
        <v>0</v>
      </c>
      <c r="J52" s="347"/>
      <c r="K52" s="347"/>
      <c r="L52" s="348">
        <f t="shared" si="15"/>
        <v>0</v>
      </c>
      <c r="M52" s="347"/>
      <c r="N52" s="347"/>
      <c r="O52" s="348">
        <f t="shared" si="16"/>
        <v>0</v>
      </c>
      <c r="P52" s="347">
        <v>0</v>
      </c>
      <c r="Q52" s="349">
        <v>0</v>
      </c>
      <c r="R52" s="350">
        <f t="shared" si="11"/>
        <v>0</v>
      </c>
      <c r="S52" s="360"/>
    </row>
    <row r="53" spans="1:19" s="361" customFormat="1" x14ac:dyDescent="0.3">
      <c r="A53" s="1078"/>
      <c r="B53" s="1081"/>
      <c r="C53" s="319" t="s">
        <v>32</v>
      </c>
      <c r="D53" s="344">
        <f t="shared" si="12"/>
        <v>0</v>
      </c>
      <c r="E53" s="345">
        <f t="shared" si="13"/>
        <v>0</v>
      </c>
      <c r="F53" s="346">
        <f t="shared" si="17"/>
        <v>0</v>
      </c>
      <c r="G53" s="323">
        <v>0</v>
      </c>
      <c r="H53" s="324">
        <v>0</v>
      </c>
      <c r="I53" s="348">
        <f t="shared" si="14"/>
        <v>0</v>
      </c>
      <c r="J53" s="347"/>
      <c r="K53" s="347"/>
      <c r="L53" s="348">
        <f t="shared" si="15"/>
        <v>0</v>
      </c>
      <c r="M53" s="347"/>
      <c r="N53" s="347"/>
      <c r="O53" s="348">
        <f t="shared" si="16"/>
        <v>0</v>
      </c>
      <c r="P53" s="347">
        <v>0</v>
      </c>
      <c r="Q53" s="349">
        <v>0</v>
      </c>
      <c r="R53" s="350">
        <f t="shared" si="11"/>
        <v>0</v>
      </c>
      <c r="S53" s="360"/>
    </row>
    <row r="54" spans="1:19" s="361" customFormat="1" x14ac:dyDescent="0.3">
      <c r="A54" s="1078"/>
      <c r="B54" s="1081"/>
      <c r="C54" s="319" t="s">
        <v>33</v>
      </c>
      <c r="D54" s="344">
        <f t="shared" si="12"/>
        <v>0</v>
      </c>
      <c r="E54" s="345">
        <f t="shared" si="13"/>
        <v>0</v>
      </c>
      <c r="F54" s="346">
        <f t="shared" si="17"/>
        <v>0</v>
      </c>
      <c r="G54" s="323">
        <v>0</v>
      </c>
      <c r="H54" s="324">
        <v>0</v>
      </c>
      <c r="I54" s="348">
        <f t="shared" si="14"/>
        <v>0</v>
      </c>
      <c r="J54" s="347"/>
      <c r="K54" s="347"/>
      <c r="L54" s="348">
        <f t="shared" si="15"/>
        <v>0</v>
      </c>
      <c r="M54" s="347"/>
      <c r="N54" s="347"/>
      <c r="O54" s="348">
        <f t="shared" si="16"/>
        <v>0</v>
      </c>
      <c r="P54" s="347">
        <v>0</v>
      </c>
      <c r="Q54" s="349">
        <v>0</v>
      </c>
      <c r="R54" s="350">
        <f t="shared" si="11"/>
        <v>0</v>
      </c>
      <c r="S54" s="360"/>
    </row>
    <row r="55" spans="1:19" s="361" customFormat="1" ht="15" thickBot="1" x14ac:dyDescent="0.35">
      <c r="A55" s="1079"/>
      <c r="B55" s="1082"/>
      <c r="C55" s="328" t="s">
        <v>34</v>
      </c>
      <c r="D55" s="351">
        <f t="shared" si="12"/>
        <v>0</v>
      </c>
      <c r="E55" s="352">
        <f t="shared" si="13"/>
        <v>0</v>
      </c>
      <c r="F55" s="353">
        <f t="shared" si="17"/>
        <v>0</v>
      </c>
      <c r="G55" s="332">
        <v>0</v>
      </c>
      <c r="H55" s="333">
        <v>0</v>
      </c>
      <c r="I55" s="355">
        <f>H55-G55</f>
        <v>0</v>
      </c>
      <c r="J55" s="354"/>
      <c r="K55" s="354"/>
      <c r="L55" s="355">
        <f>K55-J55</f>
        <v>0</v>
      </c>
      <c r="M55" s="354"/>
      <c r="N55" s="354"/>
      <c r="O55" s="355">
        <f>N55-M55</f>
        <v>0</v>
      </c>
      <c r="P55" s="354">
        <v>0</v>
      </c>
      <c r="Q55" s="356">
        <v>0</v>
      </c>
      <c r="R55" s="357">
        <f>Q55-P55</f>
        <v>0</v>
      </c>
      <c r="S55" s="360"/>
    </row>
    <row r="56" spans="1:19" s="359" customFormat="1" ht="14.25" customHeight="1" x14ac:dyDescent="0.3">
      <c r="A56" s="1077" t="s">
        <v>584</v>
      </c>
      <c r="B56" s="1080" t="s">
        <v>13</v>
      </c>
      <c r="C56" s="308" t="s">
        <v>25</v>
      </c>
      <c r="D56" s="337"/>
      <c r="E56" s="338"/>
      <c r="F56" s="339"/>
      <c r="G56" s="312">
        <f>'Procesy - AS IS'!$AH$81</f>
        <v>1542.0898666666665</v>
      </c>
      <c r="H56" s="313">
        <f>G56</f>
        <v>1542.0898666666665</v>
      </c>
      <c r="I56" s="341">
        <f>H56-G56</f>
        <v>0</v>
      </c>
      <c r="J56" s="340"/>
      <c r="K56" s="340"/>
      <c r="L56" s="341">
        <f>K56-J56</f>
        <v>0</v>
      </c>
      <c r="M56" s="340"/>
      <c r="N56" s="340"/>
      <c r="O56" s="341">
        <f>N56-M56</f>
        <v>0</v>
      </c>
      <c r="P56" s="340"/>
      <c r="Q56" s="342"/>
      <c r="R56" s="343">
        <f>Q56-P56</f>
        <v>0</v>
      </c>
      <c r="S56" s="358"/>
    </row>
    <row r="57" spans="1:19" s="963" customFormat="1" x14ac:dyDescent="0.3">
      <c r="A57" s="1078"/>
      <c r="B57" s="1081"/>
      <c r="C57" s="319" t="s">
        <v>26</v>
      </c>
      <c r="D57" s="344"/>
      <c r="E57" s="345"/>
      <c r="F57" s="346"/>
      <c r="G57" s="323">
        <f>G56</f>
        <v>1542.0898666666665</v>
      </c>
      <c r="H57" s="324">
        <f>H56</f>
        <v>1542.0898666666665</v>
      </c>
      <c r="I57" s="348">
        <f t="shared" ref="I57:I65" si="18">H57-G57</f>
        <v>0</v>
      </c>
      <c r="J57" s="347"/>
      <c r="K57" s="347"/>
      <c r="L57" s="348">
        <f t="shared" ref="L57:L65" si="19">K57-J57</f>
        <v>0</v>
      </c>
      <c r="M57" s="347"/>
      <c r="N57" s="347"/>
      <c r="O57" s="348">
        <f t="shared" ref="O57:O65" si="20">N57-M57</f>
        <v>0</v>
      </c>
      <c r="P57" s="347"/>
      <c r="Q57" s="349"/>
      <c r="R57" s="350">
        <f t="shared" ref="R57:R65" si="21">Q57-P57</f>
        <v>0</v>
      </c>
      <c r="S57" s="360"/>
    </row>
    <row r="58" spans="1:19" s="963" customFormat="1" x14ac:dyDescent="0.3">
      <c r="A58" s="1078"/>
      <c r="B58" s="1081"/>
      <c r="C58" s="319" t="s">
        <v>27</v>
      </c>
      <c r="D58" s="344"/>
      <c r="E58" s="345"/>
      <c r="F58" s="346"/>
      <c r="G58" s="323">
        <f t="shared" ref="G58:G65" si="22">G57</f>
        <v>1542.0898666666665</v>
      </c>
      <c r="H58" s="324">
        <f t="shared" ref="H58:H65" si="23">H57</f>
        <v>1542.0898666666665</v>
      </c>
      <c r="I58" s="348">
        <f t="shared" si="18"/>
        <v>0</v>
      </c>
      <c r="J58" s="347"/>
      <c r="K58" s="347"/>
      <c r="L58" s="348">
        <f t="shared" si="19"/>
        <v>0</v>
      </c>
      <c r="M58" s="347"/>
      <c r="N58" s="347"/>
      <c r="O58" s="348">
        <f t="shared" si="20"/>
        <v>0</v>
      </c>
      <c r="P58" s="347"/>
      <c r="Q58" s="349"/>
      <c r="R58" s="350">
        <f t="shared" si="21"/>
        <v>0</v>
      </c>
      <c r="S58" s="360"/>
    </row>
    <row r="59" spans="1:19" s="963" customFormat="1" x14ac:dyDescent="0.3">
      <c r="A59" s="1078"/>
      <c r="B59" s="1081"/>
      <c r="C59" s="319" t="s">
        <v>28</v>
      </c>
      <c r="D59" s="344"/>
      <c r="E59" s="345"/>
      <c r="F59" s="346"/>
      <c r="G59" s="323">
        <f t="shared" si="22"/>
        <v>1542.0898666666665</v>
      </c>
      <c r="H59" s="324">
        <f t="shared" si="23"/>
        <v>1542.0898666666665</v>
      </c>
      <c r="I59" s="348">
        <f t="shared" si="18"/>
        <v>0</v>
      </c>
      <c r="J59" s="347"/>
      <c r="K59" s="347"/>
      <c r="L59" s="348">
        <f t="shared" si="19"/>
        <v>0</v>
      </c>
      <c r="M59" s="347"/>
      <c r="N59" s="347"/>
      <c r="O59" s="348">
        <f t="shared" si="20"/>
        <v>0</v>
      </c>
      <c r="P59" s="347"/>
      <c r="Q59" s="349"/>
      <c r="R59" s="350">
        <f t="shared" si="21"/>
        <v>0</v>
      </c>
      <c r="S59" s="360"/>
    </row>
    <row r="60" spans="1:19" s="963" customFormat="1" x14ac:dyDescent="0.3">
      <c r="A60" s="1078"/>
      <c r="B60" s="1081"/>
      <c r="C60" s="319" t="s">
        <v>29</v>
      </c>
      <c r="D60" s="344"/>
      <c r="E60" s="345"/>
      <c r="F60" s="346"/>
      <c r="G60" s="323">
        <f t="shared" si="22"/>
        <v>1542.0898666666665</v>
      </c>
      <c r="H60" s="324">
        <f t="shared" si="23"/>
        <v>1542.0898666666665</v>
      </c>
      <c r="I60" s="348">
        <f t="shared" si="18"/>
        <v>0</v>
      </c>
      <c r="J60" s="347"/>
      <c r="K60" s="347"/>
      <c r="L60" s="348">
        <f t="shared" si="19"/>
        <v>0</v>
      </c>
      <c r="M60" s="347"/>
      <c r="N60" s="347"/>
      <c r="O60" s="348">
        <f t="shared" si="20"/>
        <v>0</v>
      </c>
      <c r="P60" s="347"/>
      <c r="Q60" s="349"/>
      <c r="R60" s="350">
        <f t="shared" si="21"/>
        <v>0</v>
      </c>
      <c r="S60" s="360"/>
    </row>
    <row r="61" spans="1:19" s="963" customFormat="1" x14ac:dyDescent="0.3">
      <c r="A61" s="1078"/>
      <c r="B61" s="1081"/>
      <c r="C61" s="319" t="s">
        <v>30</v>
      </c>
      <c r="D61" s="344"/>
      <c r="E61" s="345"/>
      <c r="F61" s="346"/>
      <c r="G61" s="323">
        <f t="shared" si="22"/>
        <v>1542.0898666666665</v>
      </c>
      <c r="H61" s="324">
        <f t="shared" si="23"/>
        <v>1542.0898666666665</v>
      </c>
      <c r="I61" s="348">
        <f t="shared" si="18"/>
        <v>0</v>
      </c>
      <c r="J61" s="347"/>
      <c r="K61" s="347"/>
      <c r="L61" s="348">
        <f t="shared" si="19"/>
        <v>0</v>
      </c>
      <c r="M61" s="347"/>
      <c r="N61" s="347"/>
      <c r="O61" s="348">
        <f t="shared" si="20"/>
        <v>0</v>
      </c>
      <c r="P61" s="347"/>
      <c r="Q61" s="349"/>
      <c r="R61" s="350">
        <f t="shared" si="21"/>
        <v>0</v>
      </c>
      <c r="S61" s="360"/>
    </row>
    <row r="62" spans="1:19" s="963" customFormat="1" x14ac:dyDescent="0.3">
      <c r="A62" s="1078"/>
      <c r="B62" s="1081"/>
      <c r="C62" s="319" t="s">
        <v>31</v>
      </c>
      <c r="D62" s="344"/>
      <c r="E62" s="345"/>
      <c r="F62" s="346"/>
      <c r="G62" s="323">
        <f t="shared" si="22"/>
        <v>1542.0898666666665</v>
      </c>
      <c r="H62" s="324">
        <f t="shared" si="23"/>
        <v>1542.0898666666665</v>
      </c>
      <c r="I62" s="348">
        <f t="shared" si="18"/>
        <v>0</v>
      </c>
      <c r="J62" s="347"/>
      <c r="K62" s="347"/>
      <c r="L62" s="348">
        <f t="shared" si="19"/>
        <v>0</v>
      </c>
      <c r="M62" s="347"/>
      <c r="N62" s="347"/>
      <c r="O62" s="348">
        <f t="shared" si="20"/>
        <v>0</v>
      </c>
      <c r="P62" s="347"/>
      <c r="Q62" s="349"/>
      <c r="R62" s="350">
        <f t="shared" si="21"/>
        <v>0</v>
      </c>
      <c r="S62" s="360"/>
    </row>
    <row r="63" spans="1:19" s="963" customFormat="1" x14ac:dyDescent="0.3">
      <c r="A63" s="1078"/>
      <c r="B63" s="1081"/>
      <c r="C63" s="319" t="s">
        <v>32</v>
      </c>
      <c r="D63" s="344"/>
      <c r="E63" s="345"/>
      <c r="F63" s="346"/>
      <c r="G63" s="323">
        <f t="shared" si="22"/>
        <v>1542.0898666666665</v>
      </c>
      <c r="H63" s="324">
        <f t="shared" si="23"/>
        <v>1542.0898666666665</v>
      </c>
      <c r="I63" s="348">
        <f t="shared" si="18"/>
        <v>0</v>
      </c>
      <c r="J63" s="347"/>
      <c r="K63" s="347"/>
      <c r="L63" s="348">
        <f t="shared" si="19"/>
        <v>0</v>
      </c>
      <c r="M63" s="347"/>
      <c r="N63" s="347"/>
      <c r="O63" s="348">
        <f t="shared" si="20"/>
        <v>0</v>
      </c>
      <c r="P63" s="347"/>
      <c r="Q63" s="349"/>
      <c r="R63" s="350">
        <f t="shared" si="21"/>
        <v>0</v>
      </c>
      <c r="S63" s="360"/>
    </row>
    <row r="64" spans="1:19" s="963" customFormat="1" x14ac:dyDescent="0.3">
      <c r="A64" s="1078"/>
      <c r="B64" s="1081"/>
      <c r="C64" s="319" t="s">
        <v>33</v>
      </c>
      <c r="D64" s="344"/>
      <c r="E64" s="345"/>
      <c r="F64" s="346"/>
      <c r="G64" s="323">
        <f t="shared" si="22"/>
        <v>1542.0898666666665</v>
      </c>
      <c r="H64" s="324">
        <f t="shared" si="23"/>
        <v>1542.0898666666665</v>
      </c>
      <c r="I64" s="348">
        <f t="shared" si="18"/>
        <v>0</v>
      </c>
      <c r="J64" s="347"/>
      <c r="K64" s="347"/>
      <c r="L64" s="348">
        <f t="shared" si="19"/>
        <v>0</v>
      </c>
      <c r="M64" s="347"/>
      <c r="N64" s="347"/>
      <c r="O64" s="348">
        <f t="shared" si="20"/>
        <v>0</v>
      </c>
      <c r="P64" s="347"/>
      <c r="Q64" s="349"/>
      <c r="R64" s="350">
        <f t="shared" si="21"/>
        <v>0</v>
      </c>
      <c r="S64" s="360"/>
    </row>
    <row r="65" spans="1:19" s="963" customFormat="1" ht="15" thickBot="1" x14ac:dyDescent="0.35">
      <c r="A65" s="1079"/>
      <c r="B65" s="1082"/>
      <c r="C65" s="328" t="s">
        <v>34</v>
      </c>
      <c r="D65" s="351"/>
      <c r="E65" s="352"/>
      <c r="F65" s="353"/>
      <c r="G65" s="332">
        <f t="shared" si="22"/>
        <v>1542.0898666666665</v>
      </c>
      <c r="H65" s="324">
        <f t="shared" si="23"/>
        <v>1542.0898666666665</v>
      </c>
      <c r="I65" s="355">
        <f t="shared" si="18"/>
        <v>0</v>
      </c>
      <c r="J65" s="354"/>
      <c r="K65" s="354"/>
      <c r="L65" s="355">
        <f t="shared" si="19"/>
        <v>0</v>
      </c>
      <c r="M65" s="354"/>
      <c r="N65" s="354"/>
      <c r="O65" s="355">
        <f t="shared" si="20"/>
        <v>0</v>
      </c>
      <c r="P65" s="354"/>
      <c r="Q65" s="356"/>
      <c r="R65" s="357">
        <f t="shared" si="21"/>
        <v>0</v>
      </c>
      <c r="S65" s="360"/>
    </row>
    <row r="66" spans="1:19" s="359" customFormat="1" ht="14.25" customHeight="1" x14ac:dyDescent="0.3">
      <c r="A66" s="1078" t="s">
        <v>39</v>
      </c>
      <c r="B66" s="1081" t="s">
        <v>13</v>
      </c>
      <c r="C66" s="319" t="s">
        <v>25</v>
      </c>
      <c r="D66" s="309">
        <f t="shared" ref="D66:D75" si="24">G66+J66+M66+P66</f>
        <v>0</v>
      </c>
      <c r="E66" s="310">
        <f t="shared" ref="E66:E75" si="25">H66+K66+N66+Q66</f>
        <v>0</v>
      </c>
      <c r="F66" s="311">
        <f t="shared" ref="F66:F75" si="26">I66+L66+O66+R66</f>
        <v>0</v>
      </c>
      <c r="G66" s="598">
        <v>0</v>
      </c>
      <c r="H66" s="599">
        <v>0</v>
      </c>
      <c r="I66" s="662">
        <f t="shared" ref="I66:I75" si="27">H66-G66</f>
        <v>0</v>
      </c>
      <c r="J66" s="598">
        <v>0</v>
      </c>
      <c r="K66" s="599">
        <v>0</v>
      </c>
      <c r="L66" s="314">
        <f t="shared" ref="L66:L75" si="28">K66-J66</f>
        <v>0</v>
      </c>
      <c r="M66" s="659">
        <v>0</v>
      </c>
      <c r="N66" s="599">
        <v>0</v>
      </c>
      <c r="O66" s="314">
        <f t="shared" ref="O66:O75" si="29">N66-M66</f>
        <v>0</v>
      </c>
      <c r="P66" s="659">
        <v>0</v>
      </c>
      <c r="Q66" s="599">
        <v>0</v>
      </c>
      <c r="R66" s="316">
        <f t="shared" ref="R66:R75" si="30">Q66-P66</f>
        <v>0</v>
      </c>
      <c r="S66" s="358"/>
    </row>
    <row r="67" spans="1:19" s="361" customFormat="1" x14ac:dyDescent="0.3">
      <c r="A67" s="1078"/>
      <c r="B67" s="1081"/>
      <c r="C67" s="319" t="s">
        <v>26</v>
      </c>
      <c r="D67" s="320">
        <f t="shared" si="24"/>
        <v>0</v>
      </c>
      <c r="E67" s="321">
        <f t="shared" si="25"/>
        <v>0</v>
      </c>
      <c r="F67" s="322">
        <f t="shared" si="26"/>
        <v>0</v>
      </c>
      <c r="G67" s="600">
        <v>0</v>
      </c>
      <c r="H67" s="601">
        <v>0</v>
      </c>
      <c r="I67" s="663">
        <f t="shared" si="27"/>
        <v>0</v>
      </c>
      <c r="J67" s="660">
        <v>0</v>
      </c>
      <c r="K67" s="601">
        <v>0</v>
      </c>
      <c r="L67" s="325">
        <f t="shared" si="28"/>
        <v>0</v>
      </c>
      <c r="M67" s="657">
        <v>0</v>
      </c>
      <c r="N67" s="601">
        <v>0</v>
      </c>
      <c r="O67" s="325">
        <f t="shared" si="29"/>
        <v>0</v>
      </c>
      <c r="P67" s="657">
        <v>0</v>
      </c>
      <c r="Q67" s="601">
        <v>0</v>
      </c>
      <c r="R67" s="327">
        <f t="shared" si="30"/>
        <v>0</v>
      </c>
      <c r="S67" s="360"/>
    </row>
    <row r="68" spans="1:19" s="361" customFormat="1" x14ac:dyDescent="0.3">
      <c r="A68" s="1078"/>
      <c r="B68" s="1081"/>
      <c r="C68" s="319" t="s">
        <v>27</v>
      </c>
      <c r="D68" s="320">
        <f t="shared" si="24"/>
        <v>0</v>
      </c>
      <c r="E68" s="321">
        <f t="shared" si="25"/>
        <v>0</v>
      </c>
      <c r="F68" s="322">
        <f t="shared" si="26"/>
        <v>0</v>
      </c>
      <c r="G68" s="600">
        <v>0</v>
      </c>
      <c r="H68" s="601">
        <v>0</v>
      </c>
      <c r="I68" s="663">
        <f t="shared" si="27"/>
        <v>0</v>
      </c>
      <c r="J68" s="660">
        <v>0</v>
      </c>
      <c r="K68" s="601">
        <v>0</v>
      </c>
      <c r="L68" s="325">
        <f t="shared" si="28"/>
        <v>0</v>
      </c>
      <c r="M68" s="657">
        <v>0</v>
      </c>
      <c r="N68" s="601">
        <v>0</v>
      </c>
      <c r="O68" s="325">
        <f t="shared" si="29"/>
        <v>0</v>
      </c>
      <c r="P68" s="657">
        <v>0</v>
      </c>
      <c r="Q68" s="601">
        <v>0</v>
      </c>
      <c r="R68" s="327">
        <f t="shared" si="30"/>
        <v>0</v>
      </c>
      <c r="S68" s="360"/>
    </row>
    <row r="69" spans="1:19" s="361" customFormat="1" x14ac:dyDescent="0.3">
      <c r="A69" s="1078"/>
      <c r="B69" s="1081"/>
      <c r="C69" s="319" t="s">
        <v>28</v>
      </c>
      <c r="D69" s="320">
        <f t="shared" si="24"/>
        <v>0</v>
      </c>
      <c r="E69" s="321">
        <f t="shared" si="25"/>
        <v>0</v>
      </c>
      <c r="F69" s="322">
        <f t="shared" si="26"/>
        <v>0</v>
      </c>
      <c r="G69" s="600">
        <v>0</v>
      </c>
      <c r="H69" s="601">
        <v>0</v>
      </c>
      <c r="I69" s="663">
        <f t="shared" si="27"/>
        <v>0</v>
      </c>
      <c r="J69" s="660">
        <v>0</v>
      </c>
      <c r="K69" s="601">
        <v>0</v>
      </c>
      <c r="L69" s="325">
        <f t="shared" si="28"/>
        <v>0</v>
      </c>
      <c r="M69" s="657">
        <v>0</v>
      </c>
      <c r="N69" s="601">
        <v>0</v>
      </c>
      <c r="O69" s="325">
        <f t="shared" si="29"/>
        <v>0</v>
      </c>
      <c r="P69" s="657">
        <v>0</v>
      </c>
      <c r="Q69" s="601">
        <v>0</v>
      </c>
      <c r="R69" s="327">
        <f t="shared" si="30"/>
        <v>0</v>
      </c>
      <c r="S69" s="360"/>
    </row>
    <row r="70" spans="1:19" s="361" customFormat="1" x14ac:dyDescent="0.3">
      <c r="A70" s="1078"/>
      <c r="B70" s="1081"/>
      <c r="C70" s="319" t="s">
        <v>29</v>
      </c>
      <c r="D70" s="320">
        <f t="shared" si="24"/>
        <v>0</v>
      </c>
      <c r="E70" s="321">
        <f t="shared" si="25"/>
        <v>0</v>
      </c>
      <c r="F70" s="322">
        <f t="shared" si="26"/>
        <v>0</v>
      </c>
      <c r="G70" s="600">
        <v>0</v>
      </c>
      <c r="H70" s="601">
        <v>0</v>
      </c>
      <c r="I70" s="663">
        <f t="shared" si="27"/>
        <v>0</v>
      </c>
      <c r="J70" s="660">
        <v>0</v>
      </c>
      <c r="K70" s="601">
        <v>0</v>
      </c>
      <c r="L70" s="325">
        <f t="shared" si="28"/>
        <v>0</v>
      </c>
      <c r="M70" s="657">
        <v>0</v>
      </c>
      <c r="N70" s="601">
        <v>0</v>
      </c>
      <c r="O70" s="325">
        <f t="shared" si="29"/>
        <v>0</v>
      </c>
      <c r="P70" s="657">
        <v>0</v>
      </c>
      <c r="Q70" s="601">
        <v>0</v>
      </c>
      <c r="R70" s="327">
        <f t="shared" si="30"/>
        <v>0</v>
      </c>
      <c r="S70" s="360"/>
    </row>
    <row r="71" spans="1:19" s="361" customFormat="1" x14ac:dyDescent="0.3">
      <c r="A71" s="1078"/>
      <c r="B71" s="1081"/>
      <c r="C71" s="319" t="s">
        <v>30</v>
      </c>
      <c r="D71" s="320">
        <f t="shared" si="24"/>
        <v>0</v>
      </c>
      <c r="E71" s="321">
        <f t="shared" si="25"/>
        <v>0</v>
      </c>
      <c r="F71" s="322">
        <f t="shared" si="26"/>
        <v>0</v>
      </c>
      <c r="G71" s="600">
        <v>0</v>
      </c>
      <c r="H71" s="601">
        <v>0</v>
      </c>
      <c r="I71" s="663">
        <f t="shared" si="27"/>
        <v>0</v>
      </c>
      <c r="J71" s="660">
        <v>0</v>
      </c>
      <c r="K71" s="601">
        <v>0</v>
      </c>
      <c r="L71" s="325">
        <f t="shared" si="28"/>
        <v>0</v>
      </c>
      <c r="M71" s="657">
        <v>0</v>
      </c>
      <c r="N71" s="601">
        <v>0</v>
      </c>
      <c r="O71" s="325">
        <f t="shared" si="29"/>
        <v>0</v>
      </c>
      <c r="P71" s="657">
        <v>0</v>
      </c>
      <c r="Q71" s="601">
        <v>0</v>
      </c>
      <c r="R71" s="327">
        <f t="shared" si="30"/>
        <v>0</v>
      </c>
      <c r="S71" s="360"/>
    </row>
    <row r="72" spans="1:19" s="361" customFormat="1" x14ac:dyDescent="0.3">
      <c r="A72" s="1078"/>
      <c r="B72" s="1081"/>
      <c r="C72" s="319" t="s">
        <v>31</v>
      </c>
      <c r="D72" s="320">
        <f t="shared" si="24"/>
        <v>0</v>
      </c>
      <c r="E72" s="321">
        <f t="shared" si="25"/>
        <v>0</v>
      </c>
      <c r="F72" s="322">
        <f t="shared" si="26"/>
        <v>0</v>
      </c>
      <c r="G72" s="600">
        <v>0</v>
      </c>
      <c r="H72" s="601">
        <v>0</v>
      </c>
      <c r="I72" s="663">
        <f t="shared" si="27"/>
        <v>0</v>
      </c>
      <c r="J72" s="660">
        <v>0</v>
      </c>
      <c r="K72" s="601">
        <v>0</v>
      </c>
      <c r="L72" s="325">
        <f t="shared" si="28"/>
        <v>0</v>
      </c>
      <c r="M72" s="657">
        <v>0</v>
      </c>
      <c r="N72" s="601">
        <v>0</v>
      </c>
      <c r="O72" s="325">
        <f t="shared" si="29"/>
        <v>0</v>
      </c>
      <c r="P72" s="657">
        <v>0</v>
      </c>
      <c r="Q72" s="601">
        <v>0</v>
      </c>
      <c r="R72" s="327">
        <f t="shared" si="30"/>
        <v>0</v>
      </c>
      <c r="S72" s="360"/>
    </row>
    <row r="73" spans="1:19" s="361" customFormat="1" x14ac:dyDescent="0.3">
      <c r="A73" s="1078"/>
      <c r="B73" s="1081"/>
      <c r="C73" s="319" t="s">
        <v>32</v>
      </c>
      <c r="D73" s="320">
        <f t="shared" si="24"/>
        <v>0</v>
      </c>
      <c r="E73" s="321">
        <f t="shared" si="25"/>
        <v>0</v>
      </c>
      <c r="F73" s="322">
        <f t="shared" si="26"/>
        <v>0</v>
      </c>
      <c r="G73" s="600">
        <v>0</v>
      </c>
      <c r="H73" s="601">
        <v>0</v>
      </c>
      <c r="I73" s="663">
        <f t="shared" si="27"/>
        <v>0</v>
      </c>
      <c r="J73" s="660">
        <v>0</v>
      </c>
      <c r="K73" s="601">
        <v>0</v>
      </c>
      <c r="L73" s="325">
        <f t="shared" si="28"/>
        <v>0</v>
      </c>
      <c r="M73" s="657">
        <v>0</v>
      </c>
      <c r="N73" s="601">
        <v>0</v>
      </c>
      <c r="O73" s="325">
        <f t="shared" si="29"/>
        <v>0</v>
      </c>
      <c r="P73" s="657">
        <v>0</v>
      </c>
      <c r="Q73" s="601">
        <v>0</v>
      </c>
      <c r="R73" s="327">
        <f t="shared" si="30"/>
        <v>0</v>
      </c>
      <c r="S73" s="360"/>
    </row>
    <row r="74" spans="1:19" s="361" customFormat="1" x14ac:dyDescent="0.3">
      <c r="A74" s="1078"/>
      <c r="B74" s="1081"/>
      <c r="C74" s="319" t="s">
        <v>33</v>
      </c>
      <c r="D74" s="320">
        <f t="shared" si="24"/>
        <v>0</v>
      </c>
      <c r="E74" s="321">
        <f t="shared" si="25"/>
        <v>0</v>
      </c>
      <c r="F74" s="322">
        <f t="shared" si="26"/>
        <v>0</v>
      </c>
      <c r="G74" s="600">
        <v>0</v>
      </c>
      <c r="H74" s="601">
        <v>0</v>
      </c>
      <c r="I74" s="663">
        <f t="shared" si="27"/>
        <v>0</v>
      </c>
      <c r="J74" s="660">
        <v>0</v>
      </c>
      <c r="K74" s="601">
        <v>0</v>
      </c>
      <c r="L74" s="325">
        <f t="shared" si="28"/>
        <v>0</v>
      </c>
      <c r="M74" s="657">
        <v>0</v>
      </c>
      <c r="N74" s="601">
        <v>0</v>
      </c>
      <c r="O74" s="325">
        <f t="shared" si="29"/>
        <v>0</v>
      </c>
      <c r="P74" s="657">
        <v>0</v>
      </c>
      <c r="Q74" s="601">
        <v>0</v>
      </c>
      <c r="R74" s="327">
        <f t="shared" si="30"/>
        <v>0</v>
      </c>
      <c r="S74" s="360"/>
    </row>
    <row r="75" spans="1:19" s="363" customFormat="1" ht="15" thickBot="1" x14ac:dyDescent="0.35">
      <c r="A75" s="1079"/>
      <c r="B75" s="1082"/>
      <c r="C75" s="328" t="s">
        <v>34</v>
      </c>
      <c r="D75" s="329">
        <f t="shared" si="24"/>
        <v>0</v>
      </c>
      <c r="E75" s="330">
        <f t="shared" si="25"/>
        <v>0</v>
      </c>
      <c r="F75" s="331">
        <f t="shared" si="26"/>
        <v>0</v>
      </c>
      <c r="G75" s="602">
        <v>0</v>
      </c>
      <c r="H75" s="603">
        <v>0</v>
      </c>
      <c r="I75" s="664">
        <f t="shared" si="27"/>
        <v>0</v>
      </c>
      <c r="J75" s="661">
        <v>0</v>
      </c>
      <c r="K75" s="603">
        <v>0</v>
      </c>
      <c r="L75" s="334">
        <f t="shared" si="28"/>
        <v>0</v>
      </c>
      <c r="M75" s="658">
        <v>0</v>
      </c>
      <c r="N75" s="603">
        <v>0</v>
      </c>
      <c r="O75" s="334">
        <f t="shared" si="29"/>
        <v>0</v>
      </c>
      <c r="P75" s="658">
        <v>0</v>
      </c>
      <c r="Q75" s="603">
        <v>0</v>
      </c>
      <c r="R75" s="336">
        <f t="shared" si="30"/>
        <v>0</v>
      </c>
      <c r="S75" s="362"/>
    </row>
    <row r="76" spans="1:19" s="361" customFormat="1" ht="15" thickBot="1" x14ac:dyDescent="0.35">
      <c r="A76" s="364"/>
      <c r="B76" s="365"/>
      <c r="C76" s="366"/>
      <c r="D76" s="365"/>
      <c r="E76" s="365"/>
      <c r="F76" s="367" t="s">
        <v>103</v>
      </c>
      <c r="G76" s="368"/>
      <c r="H76" s="368"/>
      <c r="I76" s="369"/>
      <c r="J76" s="368"/>
      <c r="K76" s="368"/>
      <c r="L76" s="369"/>
      <c r="M76" s="368"/>
      <c r="N76" s="368"/>
      <c r="O76" s="369"/>
      <c r="P76" s="368"/>
      <c r="Q76" s="370"/>
      <c r="R76" s="371"/>
      <c r="S76" s="360"/>
    </row>
    <row r="77" spans="1:19" s="361" customFormat="1" x14ac:dyDescent="0.3">
      <c r="A77" s="1073" t="s">
        <v>279</v>
      </c>
      <c r="B77" s="1075" t="s">
        <v>37</v>
      </c>
      <c r="C77" s="372" t="s">
        <v>25</v>
      </c>
      <c r="D77" s="373">
        <f t="shared" ref="D77:D116" si="31">G77+J77+M77+P77</f>
        <v>900</v>
      </c>
      <c r="E77" s="374">
        <f t="shared" ref="E77:E116" si="32">H77+K77+N77+Q77</f>
        <v>900</v>
      </c>
      <c r="F77" s="375">
        <f t="shared" ref="F77:F116" si="33">I77+L77+O77+R77</f>
        <v>0</v>
      </c>
      <c r="G77" s="376">
        <f t="shared" ref="G77:G86" si="34">G6</f>
        <v>900</v>
      </c>
      <c r="H77" s="377">
        <f t="shared" ref="H77:H86" si="35">H6*(1+$S$77)</f>
        <v>900</v>
      </c>
      <c r="I77" s="378">
        <f>H77-G77</f>
        <v>0</v>
      </c>
      <c r="J77" s="377">
        <f t="shared" ref="J77:J86" si="36">J6</f>
        <v>0</v>
      </c>
      <c r="K77" s="377">
        <f t="shared" ref="K77:K86" si="37">K6*(1+$S$77)</f>
        <v>0</v>
      </c>
      <c r="L77" s="378">
        <f t="shared" ref="L77:L86" si="38">K77-J77</f>
        <v>0</v>
      </c>
      <c r="M77" s="377">
        <f t="shared" ref="M77:M86" si="39">M6</f>
        <v>0</v>
      </c>
      <c r="N77" s="377">
        <f t="shared" ref="N77:N86" si="40">N6*(1+$S$77)</f>
        <v>0</v>
      </c>
      <c r="O77" s="378">
        <f t="shared" ref="O77:O86" si="41">N77-M77</f>
        <v>0</v>
      </c>
      <c r="P77" s="377">
        <f t="shared" ref="P77:P86" si="42">P6</f>
        <v>0</v>
      </c>
      <c r="Q77" s="379">
        <f t="shared" ref="Q77:Q86" si="43">Q6*(1+$S$77)</f>
        <v>0</v>
      </c>
      <c r="R77" s="380">
        <f t="shared" ref="R77:R86" si="44">Q77-P77</f>
        <v>0</v>
      </c>
      <c r="S77" s="381">
        <f>'Analyza citlivosti - AgendovéIS'!K7</f>
        <v>0</v>
      </c>
    </row>
    <row r="78" spans="1:19" s="361" customFormat="1" x14ac:dyDescent="0.3">
      <c r="A78" s="1073"/>
      <c r="B78" s="1075"/>
      <c r="C78" s="372" t="s">
        <v>26</v>
      </c>
      <c r="D78" s="373">
        <f t="shared" si="31"/>
        <v>900</v>
      </c>
      <c r="E78" s="374">
        <f t="shared" si="32"/>
        <v>1128.765625019704</v>
      </c>
      <c r="F78" s="375">
        <f t="shared" si="33"/>
        <v>228.76562501970398</v>
      </c>
      <c r="G78" s="382">
        <f t="shared" si="34"/>
        <v>900</v>
      </c>
      <c r="H78" s="383">
        <f t="shared" si="35"/>
        <v>1128.765625019704</v>
      </c>
      <c r="I78" s="325">
        <f t="shared" ref="I78:I86" si="45">H78-G78</f>
        <v>228.76562501970398</v>
      </c>
      <c r="J78" s="383">
        <f t="shared" si="36"/>
        <v>0</v>
      </c>
      <c r="K78" s="383">
        <f t="shared" si="37"/>
        <v>0</v>
      </c>
      <c r="L78" s="325">
        <f t="shared" si="38"/>
        <v>0</v>
      </c>
      <c r="M78" s="383">
        <f t="shared" si="39"/>
        <v>0</v>
      </c>
      <c r="N78" s="383">
        <f t="shared" si="40"/>
        <v>0</v>
      </c>
      <c r="O78" s="325">
        <f t="shared" si="41"/>
        <v>0</v>
      </c>
      <c r="P78" s="383">
        <f t="shared" si="42"/>
        <v>0</v>
      </c>
      <c r="Q78" s="384">
        <f t="shared" si="43"/>
        <v>0</v>
      </c>
      <c r="R78" s="327">
        <f t="shared" si="44"/>
        <v>0</v>
      </c>
      <c r="S78" s="360"/>
    </row>
    <row r="79" spans="1:19" s="361" customFormat="1" x14ac:dyDescent="0.3">
      <c r="A79" s="1073"/>
      <c r="B79" s="1075"/>
      <c r="C79" s="372" t="s">
        <v>27</v>
      </c>
      <c r="D79" s="373">
        <f t="shared" si="31"/>
        <v>900</v>
      </c>
      <c r="E79" s="374">
        <f t="shared" si="32"/>
        <v>1128.765625019704</v>
      </c>
      <c r="F79" s="375">
        <f t="shared" si="33"/>
        <v>228.76562501970398</v>
      </c>
      <c r="G79" s="382">
        <f t="shared" si="34"/>
        <v>900</v>
      </c>
      <c r="H79" s="383">
        <f t="shared" si="35"/>
        <v>1128.765625019704</v>
      </c>
      <c r="I79" s="325">
        <f t="shared" si="45"/>
        <v>228.76562501970398</v>
      </c>
      <c r="J79" s="383">
        <f t="shared" si="36"/>
        <v>0</v>
      </c>
      <c r="K79" s="383">
        <f t="shared" si="37"/>
        <v>0</v>
      </c>
      <c r="L79" s="325">
        <f t="shared" si="38"/>
        <v>0</v>
      </c>
      <c r="M79" s="383">
        <f t="shared" si="39"/>
        <v>0</v>
      </c>
      <c r="N79" s="383">
        <f t="shared" si="40"/>
        <v>0</v>
      </c>
      <c r="O79" s="325">
        <f t="shared" si="41"/>
        <v>0</v>
      </c>
      <c r="P79" s="383">
        <f t="shared" si="42"/>
        <v>0</v>
      </c>
      <c r="Q79" s="384">
        <f t="shared" si="43"/>
        <v>0</v>
      </c>
      <c r="R79" s="327">
        <f t="shared" si="44"/>
        <v>0</v>
      </c>
      <c r="S79" s="360"/>
    </row>
    <row r="80" spans="1:19" s="361" customFormat="1" x14ac:dyDescent="0.3">
      <c r="A80" s="1073"/>
      <c r="B80" s="1075"/>
      <c r="C80" s="372" t="s">
        <v>28</v>
      </c>
      <c r="D80" s="373">
        <f t="shared" si="31"/>
        <v>900</v>
      </c>
      <c r="E80" s="374">
        <f t="shared" si="32"/>
        <v>1128.765625019704</v>
      </c>
      <c r="F80" s="375">
        <f t="shared" si="33"/>
        <v>228.76562501970398</v>
      </c>
      <c r="G80" s="382">
        <f t="shared" si="34"/>
        <v>900</v>
      </c>
      <c r="H80" s="383">
        <f t="shared" si="35"/>
        <v>1128.765625019704</v>
      </c>
      <c r="I80" s="325">
        <f t="shared" si="45"/>
        <v>228.76562501970398</v>
      </c>
      <c r="J80" s="383">
        <f t="shared" si="36"/>
        <v>0</v>
      </c>
      <c r="K80" s="383">
        <f t="shared" si="37"/>
        <v>0</v>
      </c>
      <c r="L80" s="325">
        <f t="shared" si="38"/>
        <v>0</v>
      </c>
      <c r="M80" s="383">
        <f t="shared" si="39"/>
        <v>0</v>
      </c>
      <c r="N80" s="383">
        <f t="shared" si="40"/>
        <v>0</v>
      </c>
      <c r="O80" s="325">
        <f t="shared" si="41"/>
        <v>0</v>
      </c>
      <c r="P80" s="383">
        <f t="shared" si="42"/>
        <v>0</v>
      </c>
      <c r="Q80" s="384">
        <f t="shared" si="43"/>
        <v>0</v>
      </c>
      <c r="R80" s="327">
        <f t="shared" si="44"/>
        <v>0</v>
      </c>
      <c r="S80" s="360"/>
    </row>
    <row r="81" spans="1:19" s="361" customFormat="1" x14ac:dyDescent="0.3">
      <c r="A81" s="1073"/>
      <c r="B81" s="1075"/>
      <c r="C81" s="372" t="s">
        <v>29</v>
      </c>
      <c r="D81" s="373">
        <f t="shared" si="31"/>
        <v>900</v>
      </c>
      <c r="E81" s="374">
        <f t="shared" si="32"/>
        <v>1128.765625019704</v>
      </c>
      <c r="F81" s="375">
        <f t="shared" si="33"/>
        <v>228.76562501970398</v>
      </c>
      <c r="G81" s="382">
        <f t="shared" si="34"/>
        <v>900</v>
      </c>
      <c r="H81" s="383">
        <f t="shared" si="35"/>
        <v>1128.765625019704</v>
      </c>
      <c r="I81" s="325">
        <f t="shared" si="45"/>
        <v>228.76562501970398</v>
      </c>
      <c r="J81" s="383">
        <f t="shared" si="36"/>
        <v>0</v>
      </c>
      <c r="K81" s="383">
        <f t="shared" si="37"/>
        <v>0</v>
      </c>
      <c r="L81" s="325">
        <f t="shared" si="38"/>
        <v>0</v>
      </c>
      <c r="M81" s="383">
        <f t="shared" si="39"/>
        <v>0</v>
      </c>
      <c r="N81" s="383">
        <f t="shared" si="40"/>
        <v>0</v>
      </c>
      <c r="O81" s="325">
        <f t="shared" si="41"/>
        <v>0</v>
      </c>
      <c r="P81" s="383">
        <f t="shared" si="42"/>
        <v>0</v>
      </c>
      <c r="Q81" s="384">
        <f t="shared" si="43"/>
        <v>0</v>
      </c>
      <c r="R81" s="327">
        <f t="shared" si="44"/>
        <v>0</v>
      </c>
      <c r="S81" s="360"/>
    </row>
    <row r="82" spans="1:19" s="361" customFormat="1" x14ac:dyDescent="0.3">
      <c r="A82" s="1073"/>
      <c r="B82" s="1075"/>
      <c r="C82" s="372" t="s">
        <v>30</v>
      </c>
      <c r="D82" s="373">
        <f t="shared" si="31"/>
        <v>900</v>
      </c>
      <c r="E82" s="374">
        <f t="shared" si="32"/>
        <v>1128.765625019704</v>
      </c>
      <c r="F82" s="375">
        <f t="shared" si="33"/>
        <v>228.76562501970398</v>
      </c>
      <c r="G82" s="382">
        <f t="shared" si="34"/>
        <v>900</v>
      </c>
      <c r="H82" s="383">
        <f t="shared" si="35"/>
        <v>1128.765625019704</v>
      </c>
      <c r="I82" s="325">
        <f t="shared" si="45"/>
        <v>228.76562501970398</v>
      </c>
      <c r="J82" s="383">
        <f t="shared" si="36"/>
        <v>0</v>
      </c>
      <c r="K82" s="383">
        <f t="shared" si="37"/>
        <v>0</v>
      </c>
      <c r="L82" s="325">
        <f t="shared" si="38"/>
        <v>0</v>
      </c>
      <c r="M82" s="383">
        <f t="shared" si="39"/>
        <v>0</v>
      </c>
      <c r="N82" s="383">
        <f t="shared" si="40"/>
        <v>0</v>
      </c>
      <c r="O82" s="325">
        <f t="shared" si="41"/>
        <v>0</v>
      </c>
      <c r="P82" s="383">
        <f t="shared" si="42"/>
        <v>0</v>
      </c>
      <c r="Q82" s="384">
        <f t="shared" si="43"/>
        <v>0</v>
      </c>
      <c r="R82" s="327">
        <f t="shared" si="44"/>
        <v>0</v>
      </c>
      <c r="S82" s="360"/>
    </row>
    <row r="83" spans="1:19" s="361" customFormat="1" x14ac:dyDescent="0.3">
      <c r="A83" s="1073"/>
      <c r="B83" s="1075"/>
      <c r="C83" s="372" t="s">
        <v>31</v>
      </c>
      <c r="D83" s="373">
        <f t="shared" si="31"/>
        <v>900</v>
      </c>
      <c r="E83" s="374">
        <f t="shared" si="32"/>
        <v>1128.765625019704</v>
      </c>
      <c r="F83" s="375">
        <f t="shared" si="33"/>
        <v>228.76562501970398</v>
      </c>
      <c r="G83" s="382">
        <f t="shared" si="34"/>
        <v>900</v>
      </c>
      <c r="H83" s="383">
        <f t="shared" si="35"/>
        <v>1128.765625019704</v>
      </c>
      <c r="I83" s="325">
        <f t="shared" si="45"/>
        <v>228.76562501970398</v>
      </c>
      <c r="J83" s="383">
        <f t="shared" si="36"/>
        <v>0</v>
      </c>
      <c r="K83" s="383">
        <f t="shared" si="37"/>
        <v>0</v>
      </c>
      <c r="L83" s="325">
        <f t="shared" si="38"/>
        <v>0</v>
      </c>
      <c r="M83" s="383">
        <f t="shared" si="39"/>
        <v>0</v>
      </c>
      <c r="N83" s="383">
        <f t="shared" si="40"/>
        <v>0</v>
      </c>
      <c r="O83" s="325">
        <f t="shared" si="41"/>
        <v>0</v>
      </c>
      <c r="P83" s="383">
        <f t="shared" si="42"/>
        <v>0</v>
      </c>
      <c r="Q83" s="384">
        <f t="shared" si="43"/>
        <v>0</v>
      </c>
      <c r="R83" s="327">
        <f t="shared" si="44"/>
        <v>0</v>
      </c>
      <c r="S83" s="360"/>
    </row>
    <row r="84" spans="1:19" s="361" customFormat="1" x14ac:dyDescent="0.3">
      <c r="A84" s="1073"/>
      <c r="B84" s="1075"/>
      <c r="C84" s="372" t="s">
        <v>32</v>
      </c>
      <c r="D84" s="373">
        <f t="shared" si="31"/>
        <v>900</v>
      </c>
      <c r="E84" s="374">
        <f t="shared" si="32"/>
        <v>1128.765625019704</v>
      </c>
      <c r="F84" s="375">
        <f t="shared" si="33"/>
        <v>228.76562501970398</v>
      </c>
      <c r="G84" s="382">
        <f t="shared" si="34"/>
        <v>900</v>
      </c>
      <c r="H84" s="383">
        <f t="shared" si="35"/>
        <v>1128.765625019704</v>
      </c>
      <c r="I84" s="325">
        <f t="shared" si="45"/>
        <v>228.76562501970398</v>
      </c>
      <c r="J84" s="383">
        <f t="shared" si="36"/>
        <v>0</v>
      </c>
      <c r="K84" s="383">
        <f t="shared" si="37"/>
        <v>0</v>
      </c>
      <c r="L84" s="325">
        <f t="shared" si="38"/>
        <v>0</v>
      </c>
      <c r="M84" s="383">
        <f t="shared" si="39"/>
        <v>0</v>
      </c>
      <c r="N84" s="383">
        <f t="shared" si="40"/>
        <v>0</v>
      </c>
      <c r="O84" s="325">
        <f t="shared" si="41"/>
        <v>0</v>
      </c>
      <c r="P84" s="383">
        <f t="shared" si="42"/>
        <v>0</v>
      </c>
      <c r="Q84" s="384">
        <f t="shared" si="43"/>
        <v>0</v>
      </c>
      <c r="R84" s="327">
        <f t="shared" si="44"/>
        <v>0</v>
      </c>
      <c r="S84" s="360"/>
    </row>
    <row r="85" spans="1:19" s="361" customFormat="1" x14ac:dyDescent="0.3">
      <c r="A85" s="1073"/>
      <c r="B85" s="1075"/>
      <c r="C85" s="372" t="s">
        <v>33</v>
      </c>
      <c r="D85" s="373">
        <f t="shared" si="31"/>
        <v>900</v>
      </c>
      <c r="E85" s="374">
        <f t="shared" si="32"/>
        <v>1128.765625019704</v>
      </c>
      <c r="F85" s="375">
        <f t="shared" si="33"/>
        <v>228.76562501970398</v>
      </c>
      <c r="G85" s="382">
        <f t="shared" si="34"/>
        <v>900</v>
      </c>
      <c r="H85" s="383">
        <f t="shared" si="35"/>
        <v>1128.765625019704</v>
      </c>
      <c r="I85" s="325">
        <f t="shared" si="45"/>
        <v>228.76562501970398</v>
      </c>
      <c r="J85" s="383">
        <f t="shared" si="36"/>
        <v>0</v>
      </c>
      <c r="K85" s="383">
        <f t="shared" si="37"/>
        <v>0</v>
      </c>
      <c r="L85" s="325">
        <f t="shared" si="38"/>
        <v>0</v>
      </c>
      <c r="M85" s="383">
        <f t="shared" si="39"/>
        <v>0</v>
      </c>
      <c r="N85" s="383">
        <f t="shared" si="40"/>
        <v>0</v>
      </c>
      <c r="O85" s="325">
        <f t="shared" si="41"/>
        <v>0</v>
      </c>
      <c r="P85" s="383">
        <f t="shared" si="42"/>
        <v>0</v>
      </c>
      <c r="Q85" s="384">
        <f t="shared" si="43"/>
        <v>0</v>
      </c>
      <c r="R85" s="327">
        <f t="shared" si="44"/>
        <v>0</v>
      </c>
      <c r="S85" s="360"/>
    </row>
    <row r="86" spans="1:19" s="361" customFormat="1" ht="15" thickBot="1" x14ac:dyDescent="0.35">
      <c r="A86" s="1074"/>
      <c r="B86" s="1076"/>
      <c r="C86" s="385" t="s">
        <v>34</v>
      </c>
      <c r="D86" s="386">
        <f t="shared" si="31"/>
        <v>900</v>
      </c>
      <c r="E86" s="387">
        <f t="shared" si="32"/>
        <v>1128.765625019704</v>
      </c>
      <c r="F86" s="388">
        <f t="shared" si="33"/>
        <v>228.76562501970398</v>
      </c>
      <c r="G86" s="389">
        <f t="shared" si="34"/>
        <v>900</v>
      </c>
      <c r="H86" s="390">
        <f t="shared" si="35"/>
        <v>1128.765625019704</v>
      </c>
      <c r="I86" s="334">
        <f t="shared" si="45"/>
        <v>228.76562501970398</v>
      </c>
      <c r="J86" s="390">
        <f t="shared" si="36"/>
        <v>0</v>
      </c>
      <c r="K86" s="390">
        <f t="shared" si="37"/>
        <v>0</v>
      </c>
      <c r="L86" s="334">
        <f t="shared" si="38"/>
        <v>0</v>
      </c>
      <c r="M86" s="390">
        <f t="shared" si="39"/>
        <v>0</v>
      </c>
      <c r="N86" s="390">
        <f t="shared" si="40"/>
        <v>0</v>
      </c>
      <c r="O86" s="334">
        <f t="shared" si="41"/>
        <v>0</v>
      </c>
      <c r="P86" s="390">
        <f t="shared" si="42"/>
        <v>0</v>
      </c>
      <c r="Q86" s="391">
        <f t="shared" si="43"/>
        <v>0</v>
      </c>
      <c r="R86" s="336">
        <f t="shared" si="44"/>
        <v>0</v>
      </c>
      <c r="S86" s="360"/>
    </row>
    <row r="87" spans="1:19" x14ac:dyDescent="0.3">
      <c r="A87" s="1073" t="s">
        <v>181</v>
      </c>
      <c r="B87" s="1075" t="s">
        <v>13</v>
      </c>
      <c r="C87" s="372" t="s">
        <v>25</v>
      </c>
      <c r="D87" s="373">
        <f t="shared" si="31"/>
        <v>0</v>
      </c>
      <c r="E87" s="374">
        <f t="shared" si="32"/>
        <v>0</v>
      </c>
      <c r="F87" s="375">
        <f t="shared" si="33"/>
        <v>0</v>
      </c>
      <c r="G87" s="392">
        <f>G6*G36*Faktory!$D$8</f>
        <v>0</v>
      </c>
      <c r="H87" s="393">
        <f>((H77*G36)-(H77*((G36-H36)*(1+$S$36))))*Faktory!$D$8</f>
        <v>0</v>
      </c>
      <c r="I87" s="314">
        <f>H87-G87</f>
        <v>0</v>
      </c>
      <c r="J87" s="393">
        <f>J6*J36*Faktory!$D$8</f>
        <v>0</v>
      </c>
      <c r="K87" s="393">
        <f>((K77*J36)-(K77*((J36-K36)*(1+$S$36))))*Faktory!$D$8</f>
        <v>0</v>
      </c>
      <c r="L87" s="314">
        <f>K87-J87</f>
        <v>0</v>
      </c>
      <c r="M87" s="393">
        <f>M6*M36*Faktory!$D$8</f>
        <v>0</v>
      </c>
      <c r="N87" s="393">
        <f>((N77*M36)-(N77*((M36-N36)*(1+$S$36))))*Faktory!$D$8</f>
        <v>0</v>
      </c>
      <c r="O87" s="314">
        <f>N87-M87</f>
        <v>0</v>
      </c>
      <c r="P87" s="393">
        <f>P6*P36*Faktory!$D$8</f>
        <v>0</v>
      </c>
      <c r="Q87" s="394">
        <f>((Q77*P36)-(Q77*((P36-Q36)*(1+$S$36))))*Faktory!$D$8</f>
        <v>0</v>
      </c>
      <c r="R87" s="395">
        <f>Q87-P87</f>
        <v>0</v>
      </c>
    </row>
    <row r="88" spans="1:19" x14ac:dyDescent="0.3">
      <c r="A88" s="1073"/>
      <c r="B88" s="1075"/>
      <c r="C88" s="372" t="s">
        <v>26</v>
      </c>
      <c r="D88" s="373">
        <f t="shared" si="31"/>
        <v>0</v>
      </c>
      <c r="E88" s="374">
        <f t="shared" si="32"/>
        <v>0</v>
      </c>
      <c r="F88" s="375">
        <f t="shared" si="33"/>
        <v>0</v>
      </c>
      <c r="G88" s="382">
        <f>G7*G37*Faktory!$D$8</f>
        <v>0</v>
      </c>
      <c r="H88" s="383">
        <f>((H78*G37)-(H78*((G37-H37)*(1+$S$36))))*Faktory!$D$8</f>
        <v>0</v>
      </c>
      <c r="I88" s="325">
        <f t="shared" ref="I88:I106" si="46">H88-G88</f>
        <v>0</v>
      </c>
      <c r="J88" s="383">
        <f>J7*J37*Faktory!$D$8</f>
        <v>0</v>
      </c>
      <c r="K88" s="383">
        <f>((K78*J37)-(K78*((J37-K37)*(1+$S$36))))*Faktory!$D$8</f>
        <v>0</v>
      </c>
      <c r="L88" s="325">
        <f t="shared" ref="L88:L106" si="47">K88-J88</f>
        <v>0</v>
      </c>
      <c r="M88" s="383">
        <f>M7*M37*Faktory!$D$8</f>
        <v>0</v>
      </c>
      <c r="N88" s="383">
        <f>((N78*M37)-(N78*((M37-N37)*(1+$S$36))))*Faktory!$D$8</f>
        <v>0</v>
      </c>
      <c r="O88" s="325">
        <f t="shared" ref="O88:O106" si="48">N88-M88</f>
        <v>0</v>
      </c>
      <c r="P88" s="383">
        <f>P7*P37*Faktory!$D$8</f>
        <v>0</v>
      </c>
      <c r="Q88" s="384">
        <f>((Q78*P37)-(Q78*((P37-Q37)*(1+$S$36))))*Faktory!$D$8</f>
        <v>0</v>
      </c>
      <c r="R88" s="327">
        <f t="shared" ref="R88:R106" si="49">Q88-P88</f>
        <v>0</v>
      </c>
    </row>
    <row r="89" spans="1:19" x14ac:dyDescent="0.3">
      <c r="A89" s="1073"/>
      <c r="B89" s="1075"/>
      <c r="C89" s="372" t="s">
        <v>27</v>
      </c>
      <c r="D89" s="373">
        <f t="shared" si="31"/>
        <v>0</v>
      </c>
      <c r="E89" s="374">
        <f t="shared" si="32"/>
        <v>0</v>
      </c>
      <c r="F89" s="375">
        <f t="shared" si="33"/>
        <v>0</v>
      </c>
      <c r="G89" s="382">
        <f>G8*G38*Faktory!$D$8</f>
        <v>0</v>
      </c>
      <c r="H89" s="383">
        <f>((H79*G38)-(H79*((G38-H38)*(1+$S$36))))*Faktory!$D$8</f>
        <v>0</v>
      </c>
      <c r="I89" s="325">
        <f t="shared" si="46"/>
        <v>0</v>
      </c>
      <c r="J89" s="383">
        <f>J8*J38*Faktory!$D$8</f>
        <v>0</v>
      </c>
      <c r="K89" s="383">
        <f>((K79*J38)-(K79*((J38-K38)*(1+$S$36))))*Faktory!$D$8</f>
        <v>0</v>
      </c>
      <c r="L89" s="325">
        <f t="shared" si="47"/>
        <v>0</v>
      </c>
      <c r="M89" s="383">
        <f>M8*M38*Faktory!$D$8</f>
        <v>0</v>
      </c>
      <c r="N89" s="383">
        <f>((N79*M38)-(N79*((M38-N38)*(1+$S$36))))*Faktory!$D$8</f>
        <v>0</v>
      </c>
      <c r="O89" s="325">
        <f t="shared" si="48"/>
        <v>0</v>
      </c>
      <c r="P89" s="383">
        <f>P8*P38*Faktory!$D$8</f>
        <v>0</v>
      </c>
      <c r="Q89" s="384">
        <f>((Q79*P38)-(Q79*((P38-Q38)*(1+$S$36))))*Faktory!$D$8</f>
        <v>0</v>
      </c>
      <c r="R89" s="327">
        <f t="shared" si="49"/>
        <v>0</v>
      </c>
    </row>
    <row r="90" spans="1:19" x14ac:dyDescent="0.3">
      <c r="A90" s="1073"/>
      <c r="B90" s="1075"/>
      <c r="C90" s="372" t="s">
        <v>28</v>
      </c>
      <c r="D90" s="373">
        <f t="shared" si="31"/>
        <v>0</v>
      </c>
      <c r="E90" s="374">
        <f t="shared" si="32"/>
        <v>0</v>
      </c>
      <c r="F90" s="375">
        <f t="shared" si="33"/>
        <v>0</v>
      </c>
      <c r="G90" s="382">
        <f>G9*G39*Faktory!$D$8</f>
        <v>0</v>
      </c>
      <c r="H90" s="383">
        <f>((H80*G39)-(H80*((G39-H39)*(1+$S$36))))*Faktory!$D$8</f>
        <v>0</v>
      </c>
      <c r="I90" s="325">
        <f t="shared" si="46"/>
        <v>0</v>
      </c>
      <c r="J90" s="383">
        <f>J9*J39*Faktory!$D$8</f>
        <v>0</v>
      </c>
      <c r="K90" s="383">
        <f>((K80*J39)-(K80*((J39-K39)*(1+$S$36))))*Faktory!$D$8</f>
        <v>0</v>
      </c>
      <c r="L90" s="325">
        <f t="shared" si="47"/>
        <v>0</v>
      </c>
      <c r="M90" s="383">
        <f>M9*M39*Faktory!$D$8</f>
        <v>0</v>
      </c>
      <c r="N90" s="383">
        <f>((N80*M39)-(N80*((M39-N39)*(1+$S$36))))*Faktory!$D$8</f>
        <v>0</v>
      </c>
      <c r="O90" s="325">
        <f t="shared" si="48"/>
        <v>0</v>
      </c>
      <c r="P90" s="383">
        <f>P9*P39*Faktory!$D$8</f>
        <v>0</v>
      </c>
      <c r="Q90" s="384">
        <f>((Q80*P39)-(Q80*((P39-Q39)*(1+$S$36))))*Faktory!$D$8</f>
        <v>0</v>
      </c>
      <c r="R90" s="327">
        <f t="shared" si="49"/>
        <v>0</v>
      </c>
    </row>
    <row r="91" spans="1:19" x14ac:dyDescent="0.3">
      <c r="A91" s="1073"/>
      <c r="B91" s="1075"/>
      <c r="C91" s="372" t="s">
        <v>29</v>
      </c>
      <c r="D91" s="373">
        <f t="shared" si="31"/>
        <v>0</v>
      </c>
      <c r="E91" s="374">
        <f t="shared" si="32"/>
        <v>0</v>
      </c>
      <c r="F91" s="375">
        <f t="shared" si="33"/>
        <v>0</v>
      </c>
      <c r="G91" s="382">
        <f>G10*G40*Faktory!$D$8</f>
        <v>0</v>
      </c>
      <c r="H91" s="383">
        <f>((H81*G40)-(H81*((G40-H40)*(1+$S$36))))*Faktory!$D$8</f>
        <v>0</v>
      </c>
      <c r="I91" s="325">
        <f t="shared" si="46"/>
        <v>0</v>
      </c>
      <c r="J91" s="383">
        <f>J10*J40*Faktory!$D$8</f>
        <v>0</v>
      </c>
      <c r="K91" s="383">
        <f>((K81*J40)-(K81*((J40-K40)*(1+$S$36))))*Faktory!$D$8</f>
        <v>0</v>
      </c>
      <c r="L91" s="325">
        <f t="shared" si="47"/>
        <v>0</v>
      </c>
      <c r="M91" s="383">
        <f>M10*M40*Faktory!$D$8</f>
        <v>0</v>
      </c>
      <c r="N91" s="383">
        <f>((N81*M40)-(N81*((M40-N40)*(1+$S$36))))*Faktory!$D$8</f>
        <v>0</v>
      </c>
      <c r="O91" s="325">
        <f t="shared" si="48"/>
        <v>0</v>
      </c>
      <c r="P91" s="383">
        <f>P10*P40*Faktory!$D$8</f>
        <v>0</v>
      </c>
      <c r="Q91" s="384">
        <f>((Q81*P40)-(Q81*((P40-Q40)*(1+$S$36))))*Faktory!$D$8</f>
        <v>0</v>
      </c>
      <c r="R91" s="327">
        <f t="shared" si="49"/>
        <v>0</v>
      </c>
    </row>
    <row r="92" spans="1:19" x14ac:dyDescent="0.3">
      <c r="A92" s="1073"/>
      <c r="B92" s="1075"/>
      <c r="C92" s="372" t="s">
        <v>30</v>
      </c>
      <c r="D92" s="373">
        <f t="shared" si="31"/>
        <v>0</v>
      </c>
      <c r="E92" s="374">
        <f t="shared" si="32"/>
        <v>0</v>
      </c>
      <c r="F92" s="375">
        <f t="shared" si="33"/>
        <v>0</v>
      </c>
      <c r="G92" s="382">
        <f>G11*G41*Faktory!$D$8</f>
        <v>0</v>
      </c>
      <c r="H92" s="383">
        <f>((H82*G41)-(H82*((G41-H41)*(1+$S$36))))*Faktory!$D$8</f>
        <v>0</v>
      </c>
      <c r="I92" s="325">
        <f t="shared" si="46"/>
        <v>0</v>
      </c>
      <c r="J92" s="383">
        <f>J11*J41*Faktory!$D$8</f>
        <v>0</v>
      </c>
      <c r="K92" s="383">
        <f>((K82*J41)-(K82*((J41-K41)*(1+$S$36))))*Faktory!$D$8</f>
        <v>0</v>
      </c>
      <c r="L92" s="325">
        <f t="shared" si="47"/>
        <v>0</v>
      </c>
      <c r="M92" s="383">
        <f>M11*M41*Faktory!$D$8</f>
        <v>0</v>
      </c>
      <c r="N92" s="383">
        <f>((N82*M41)-(N82*((M41-N41)*(1+$S$36))))*Faktory!$D$8</f>
        <v>0</v>
      </c>
      <c r="O92" s="325">
        <f t="shared" si="48"/>
        <v>0</v>
      </c>
      <c r="P92" s="383">
        <f>P11*P41*Faktory!$D$8</f>
        <v>0</v>
      </c>
      <c r="Q92" s="384">
        <f>((Q82*P41)-(Q82*((P41-Q41)*(1+$S$36))))*Faktory!$D$8</f>
        <v>0</v>
      </c>
      <c r="R92" s="327">
        <f t="shared" si="49"/>
        <v>0</v>
      </c>
    </row>
    <row r="93" spans="1:19" x14ac:dyDescent="0.3">
      <c r="A93" s="1073"/>
      <c r="B93" s="1075"/>
      <c r="C93" s="372" t="s">
        <v>31</v>
      </c>
      <c r="D93" s="373">
        <f t="shared" si="31"/>
        <v>0</v>
      </c>
      <c r="E93" s="374">
        <f t="shared" si="32"/>
        <v>0</v>
      </c>
      <c r="F93" s="375">
        <f t="shared" si="33"/>
        <v>0</v>
      </c>
      <c r="G93" s="382">
        <f>G12*G42*Faktory!$D$8</f>
        <v>0</v>
      </c>
      <c r="H93" s="383">
        <f>((H83*G42)-(H83*((G42-H42)*(1+$S$36))))*Faktory!$D$8</f>
        <v>0</v>
      </c>
      <c r="I93" s="325">
        <f t="shared" si="46"/>
        <v>0</v>
      </c>
      <c r="J93" s="383">
        <f>J12*J42*Faktory!$D$8</f>
        <v>0</v>
      </c>
      <c r="K93" s="383">
        <f>((K83*J42)-(K83*((J42-K42)*(1+$S$36))))*Faktory!$D$8</f>
        <v>0</v>
      </c>
      <c r="L93" s="325">
        <f t="shared" si="47"/>
        <v>0</v>
      </c>
      <c r="M93" s="383">
        <f>M12*M42*Faktory!$D$8</f>
        <v>0</v>
      </c>
      <c r="N93" s="383">
        <f>((N83*M42)-(N83*((M42-N42)*(1+$S$36))))*Faktory!$D$8</f>
        <v>0</v>
      </c>
      <c r="O93" s="325">
        <f t="shared" si="48"/>
        <v>0</v>
      </c>
      <c r="P93" s="383">
        <f>P12*P42*Faktory!$D$8</f>
        <v>0</v>
      </c>
      <c r="Q93" s="384">
        <f>((Q83*P42)-(Q83*((P42-Q42)*(1+$S$36))))*Faktory!$D$8</f>
        <v>0</v>
      </c>
      <c r="R93" s="327">
        <f t="shared" si="49"/>
        <v>0</v>
      </c>
    </row>
    <row r="94" spans="1:19" x14ac:dyDescent="0.3">
      <c r="A94" s="1073"/>
      <c r="B94" s="1075"/>
      <c r="C94" s="372" t="s">
        <v>32</v>
      </c>
      <c r="D94" s="373">
        <f t="shared" si="31"/>
        <v>0</v>
      </c>
      <c r="E94" s="374">
        <f t="shared" si="32"/>
        <v>0</v>
      </c>
      <c r="F94" s="375">
        <f t="shared" si="33"/>
        <v>0</v>
      </c>
      <c r="G94" s="382">
        <f>G13*G43*Faktory!$D$8</f>
        <v>0</v>
      </c>
      <c r="H94" s="383">
        <f>((H84*G43)-(H84*((G43-H43)*(1+$S$36))))*Faktory!$D$8</f>
        <v>0</v>
      </c>
      <c r="I94" s="325">
        <f t="shared" si="46"/>
        <v>0</v>
      </c>
      <c r="J94" s="383">
        <f>J13*J43*Faktory!$D$8</f>
        <v>0</v>
      </c>
      <c r="K94" s="383">
        <f>((K84*J43)-(K84*((J43-K43)*(1+$S$36))))*Faktory!$D$8</f>
        <v>0</v>
      </c>
      <c r="L94" s="325">
        <f t="shared" si="47"/>
        <v>0</v>
      </c>
      <c r="M94" s="383">
        <f>M13*M43*Faktory!$D$8</f>
        <v>0</v>
      </c>
      <c r="N94" s="383">
        <f>((N84*M43)-(N84*((M43-N43)*(1+$S$36))))*Faktory!$D$8</f>
        <v>0</v>
      </c>
      <c r="O94" s="325">
        <f t="shared" si="48"/>
        <v>0</v>
      </c>
      <c r="P94" s="383">
        <f>P13*P43*Faktory!$D$8</f>
        <v>0</v>
      </c>
      <c r="Q94" s="384">
        <f>((Q84*P43)-(Q84*((P43-Q43)*(1+$S$36))))*Faktory!$D$8</f>
        <v>0</v>
      </c>
      <c r="R94" s="327">
        <f t="shared" si="49"/>
        <v>0</v>
      </c>
    </row>
    <row r="95" spans="1:19" x14ac:dyDescent="0.3">
      <c r="A95" s="1073"/>
      <c r="B95" s="1075"/>
      <c r="C95" s="372" t="s">
        <v>33</v>
      </c>
      <c r="D95" s="373">
        <f t="shared" si="31"/>
        <v>0</v>
      </c>
      <c r="E95" s="374">
        <f t="shared" si="32"/>
        <v>0</v>
      </c>
      <c r="F95" s="375">
        <f t="shared" si="33"/>
        <v>0</v>
      </c>
      <c r="G95" s="382">
        <f>G14*G44*Faktory!$D$8</f>
        <v>0</v>
      </c>
      <c r="H95" s="383">
        <f>((H85*G44)-(H85*((G44-H44)*(1+$S$36))))*Faktory!$D$8</f>
        <v>0</v>
      </c>
      <c r="I95" s="325">
        <f t="shared" si="46"/>
        <v>0</v>
      </c>
      <c r="J95" s="383">
        <f>J14*J44*Faktory!$D$8</f>
        <v>0</v>
      </c>
      <c r="K95" s="383">
        <f>((K85*J44)-(K85*((J44-K44)*(1+$S$36))))*Faktory!$D$8</f>
        <v>0</v>
      </c>
      <c r="L95" s="325">
        <f t="shared" si="47"/>
        <v>0</v>
      </c>
      <c r="M95" s="383">
        <f>M14*M44*Faktory!$D$8</f>
        <v>0</v>
      </c>
      <c r="N95" s="383">
        <f>((N85*M44)-(N85*((M44-N44)*(1+$S$36))))*Faktory!$D$8</f>
        <v>0</v>
      </c>
      <c r="O95" s="325">
        <f t="shared" si="48"/>
        <v>0</v>
      </c>
      <c r="P95" s="383">
        <f>P14*P44*Faktory!$D$8</f>
        <v>0</v>
      </c>
      <c r="Q95" s="384">
        <f>((Q85*P44)-(Q85*((P44-Q44)*(1+$S$36))))*Faktory!$D$8</f>
        <v>0</v>
      </c>
      <c r="R95" s="327">
        <f t="shared" si="49"/>
        <v>0</v>
      </c>
    </row>
    <row r="96" spans="1:19" ht="15" thickBot="1" x14ac:dyDescent="0.35">
      <c r="A96" s="1074"/>
      <c r="B96" s="1076"/>
      <c r="C96" s="385" t="s">
        <v>34</v>
      </c>
      <c r="D96" s="386">
        <f t="shared" si="31"/>
        <v>0</v>
      </c>
      <c r="E96" s="387">
        <f t="shared" si="32"/>
        <v>0</v>
      </c>
      <c r="F96" s="388">
        <f t="shared" si="33"/>
        <v>0</v>
      </c>
      <c r="G96" s="389">
        <f>G15*G45*Faktory!$D$8</f>
        <v>0</v>
      </c>
      <c r="H96" s="390">
        <f>((H86*G45)-(H86*((G45-H45)*(1+$S$36))))*Faktory!$D$8</f>
        <v>0</v>
      </c>
      <c r="I96" s="334">
        <f t="shared" si="46"/>
        <v>0</v>
      </c>
      <c r="J96" s="390">
        <f>J15*J45*Faktory!$D$8</f>
        <v>0</v>
      </c>
      <c r="K96" s="390">
        <f>((K86*J45)-(K86*((J45-K45)*(1+$S$36))))*Faktory!$D$8</f>
        <v>0</v>
      </c>
      <c r="L96" s="334">
        <f t="shared" si="47"/>
        <v>0</v>
      </c>
      <c r="M96" s="390">
        <f>M15*M45*Faktory!$D$8</f>
        <v>0</v>
      </c>
      <c r="N96" s="390">
        <f>((N86*M45)-(N86*((M45-N45)*(1+$S$36))))*Faktory!$D$8</f>
        <v>0</v>
      </c>
      <c r="O96" s="334">
        <f t="shared" si="48"/>
        <v>0</v>
      </c>
      <c r="P96" s="390">
        <f>P15*P45*Faktory!$D$8</f>
        <v>0</v>
      </c>
      <c r="Q96" s="391">
        <f>((Q86*P45)-(Q86*((P45-Q45)*(1+$S$36))))*Faktory!$D$8</f>
        <v>0</v>
      </c>
      <c r="R96" s="336">
        <f t="shared" si="49"/>
        <v>0</v>
      </c>
    </row>
    <row r="97" spans="1:18" x14ac:dyDescent="0.3">
      <c r="A97" s="1073" t="s">
        <v>176</v>
      </c>
      <c r="B97" s="1075" t="s">
        <v>177</v>
      </c>
      <c r="C97" s="372" t="s">
        <v>25</v>
      </c>
      <c r="D97" s="397">
        <f t="shared" si="31"/>
        <v>0</v>
      </c>
      <c r="E97" s="398">
        <f t="shared" si="32"/>
        <v>0</v>
      </c>
      <c r="F97" s="399">
        <f t="shared" si="33"/>
        <v>0</v>
      </c>
      <c r="G97" s="400">
        <f t="shared" ref="G97:H106" si="50">(G6*G36)/12/21/7.5</f>
        <v>0</v>
      </c>
      <c r="H97" s="401">
        <f t="shared" si="50"/>
        <v>0</v>
      </c>
      <c r="I97" s="402">
        <f t="shared" si="46"/>
        <v>0</v>
      </c>
      <c r="J97" s="401">
        <f t="shared" ref="J97:K106" si="51">(J6*J36)/12/21/7.5</f>
        <v>0</v>
      </c>
      <c r="K97" s="401">
        <f t="shared" si="51"/>
        <v>0</v>
      </c>
      <c r="L97" s="402">
        <f t="shared" si="47"/>
        <v>0</v>
      </c>
      <c r="M97" s="401">
        <f t="shared" ref="M97:N106" si="52">(M6*M36)/12/21/7.5</f>
        <v>0</v>
      </c>
      <c r="N97" s="401">
        <f t="shared" si="52"/>
        <v>0</v>
      </c>
      <c r="O97" s="402">
        <f t="shared" si="48"/>
        <v>0</v>
      </c>
      <c r="P97" s="401">
        <f t="shared" ref="P97:Q106" si="53">(P6*P36)/12/21/7.5</f>
        <v>0</v>
      </c>
      <c r="Q97" s="403">
        <f t="shared" si="53"/>
        <v>0</v>
      </c>
      <c r="R97" s="404">
        <f t="shared" si="49"/>
        <v>0</v>
      </c>
    </row>
    <row r="98" spans="1:18" x14ac:dyDescent="0.3">
      <c r="A98" s="1073"/>
      <c r="B98" s="1075"/>
      <c r="C98" s="372" t="s">
        <v>26</v>
      </c>
      <c r="D98" s="397">
        <f t="shared" si="31"/>
        <v>0</v>
      </c>
      <c r="E98" s="398">
        <f t="shared" si="32"/>
        <v>0</v>
      </c>
      <c r="F98" s="399">
        <f t="shared" si="33"/>
        <v>0</v>
      </c>
      <c r="G98" s="405">
        <f t="shared" si="50"/>
        <v>0</v>
      </c>
      <c r="H98" s="406">
        <f t="shared" si="50"/>
        <v>0</v>
      </c>
      <c r="I98" s="407">
        <f t="shared" si="46"/>
        <v>0</v>
      </c>
      <c r="J98" s="406">
        <f t="shared" si="51"/>
        <v>0</v>
      </c>
      <c r="K98" s="406">
        <f t="shared" si="51"/>
        <v>0</v>
      </c>
      <c r="L98" s="407">
        <f t="shared" si="47"/>
        <v>0</v>
      </c>
      <c r="M98" s="406">
        <f t="shared" si="52"/>
        <v>0</v>
      </c>
      <c r="N98" s="406">
        <f t="shared" si="52"/>
        <v>0</v>
      </c>
      <c r="O98" s="407">
        <f t="shared" si="48"/>
        <v>0</v>
      </c>
      <c r="P98" s="406">
        <f t="shared" si="53"/>
        <v>0</v>
      </c>
      <c r="Q98" s="408">
        <f t="shared" si="53"/>
        <v>0</v>
      </c>
      <c r="R98" s="409">
        <f t="shared" si="49"/>
        <v>0</v>
      </c>
    </row>
    <row r="99" spans="1:18" x14ac:dyDescent="0.3">
      <c r="A99" s="1073"/>
      <c r="B99" s="1075"/>
      <c r="C99" s="372" t="s">
        <v>27</v>
      </c>
      <c r="D99" s="397">
        <f t="shared" si="31"/>
        <v>0</v>
      </c>
      <c r="E99" s="398">
        <f t="shared" si="32"/>
        <v>0</v>
      </c>
      <c r="F99" s="399">
        <f t="shared" si="33"/>
        <v>0</v>
      </c>
      <c r="G99" s="405">
        <f t="shared" si="50"/>
        <v>0</v>
      </c>
      <c r="H99" s="406">
        <f t="shared" si="50"/>
        <v>0</v>
      </c>
      <c r="I99" s="407">
        <f t="shared" si="46"/>
        <v>0</v>
      </c>
      <c r="J99" s="406">
        <f t="shared" si="51"/>
        <v>0</v>
      </c>
      <c r="K99" s="406">
        <f t="shared" si="51"/>
        <v>0</v>
      </c>
      <c r="L99" s="407">
        <f t="shared" si="47"/>
        <v>0</v>
      </c>
      <c r="M99" s="406">
        <f t="shared" si="52"/>
        <v>0</v>
      </c>
      <c r="N99" s="406">
        <f t="shared" si="52"/>
        <v>0</v>
      </c>
      <c r="O99" s="407">
        <f t="shared" si="48"/>
        <v>0</v>
      </c>
      <c r="P99" s="406">
        <f t="shared" si="53"/>
        <v>0</v>
      </c>
      <c r="Q99" s="408">
        <f t="shared" si="53"/>
        <v>0</v>
      </c>
      <c r="R99" s="409">
        <f t="shared" si="49"/>
        <v>0</v>
      </c>
    </row>
    <row r="100" spans="1:18" x14ac:dyDescent="0.3">
      <c r="A100" s="1073"/>
      <c r="B100" s="1075"/>
      <c r="C100" s="372" t="s">
        <v>28</v>
      </c>
      <c r="D100" s="397">
        <f t="shared" si="31"/>
        <v>0</v>
      </c>
      <c r="E100" s="398">
        <f t="shared" si="32"/>
        <v>0</v>
      </c>
      <c r="F100" s="399">
        <f t="shared" si="33"/>
        <v>0</v>
      </c>
      <c r="G100" s="405">
        <f t="shared" si="50"/>
        <v>0</v>
      </c>
      <c r="H100" s="406">
        <f t="shared" si="50"/>
        <v>0</v>
      </c>
      <c r="I100" s="407">
        <f t="shared" si="46"/>
        <v>0</v>
      </c>
      <c r="J100" s="406">
        <f t="shared" si="51"/>
        <v>0</v>
      </c>
      <c r="K100" s="406">
        <f t="shared" si="51"/>
        <v>0</v>
      </c>
      <c r="L100" s="407">
        <f t="shared" si="47"/>
        <v>0</v>
      </c>
      <c r="M100" s="406">
        <f t="shared" si="52"/>
        <v>0</v>
      </c>
      <c r="N100" s="406">
        <f t="shared" si="52"/>
        <v>0</v>
      </c>
      <c r="O100" s="407">
        <f t="shared" si="48"/>
        <v>0</v>
      </c>
      <c r="P100" s="406">
        <f t="shared" si="53"/>
        <v>0</v>
      </c>
      <c r="Q100" s="408">
        <f t="shared" si="53"/>
        <v>0</v>
      </c>
      <c r="R100" s="409">
        <f t="shared" si="49"/>
        <v>0</v>
      </c>
    </row>
    <row r="101" spans="1:18" x14ac:dyDescent="0.3">
      <c r="A101" s="1073"/>
      <c r="B101" s="1075"/>
      <c r="C101" s="372" t="s">
        <v>29</v>
      </c>
      <c r="D101" s="397">
        <f t="shared" si="31"/>
        <v>0</v>
      </c>
      <c r="E101" s="398">
        <f t="shared" si="32"/>
        <v>0</v>
      </c>
      <c r="F101" s="399">
        <f t="shared" si="33"/>
        <v>0</v>
      </c>
      <c r="G101" s="405">
        <f t="shared" si="50"/>
        <v>0</v>
      </c>
      <c r="H101" s="406">
        <f t="shared" si="50"/>
        <v>0</v>
      </c>
      <c r="I101" s="407">
        <f t="shared" si="46"/>
        <v>0</v>
      </c>
      <c r="J101" s="406">
        <f t="shared" si="51"/>
        <v>0</v>
      </c>
      <c r="K101" s="406">
        <f t="shared" si="51"/>
        <v>0</v>
      </c>
      <c r="L101" s="407">
        <f t="shared" si="47"/>
        <v>0</v>
      </c>
      <c r="M101" s="406">
        <f t="shared" si="52"/>
        <v>0</v>
      </c>
      <c r="N101" s="406">
        <f t="shared" si="52"/>
        <v>0</v>
      </c>
      <c r="O101" s="407">
        <f t="shared" si="48"/>
        <v>0</v>
      </c>
      <c r="P101" s="406">
        <f t="shared" si="53"/>
        <v>0</v>
      </c>
      <c r="Q101" s="408">
        <f t="shared" si="53"/>
        <v>0</v>
      </c>
      <c r="R101" s="409">
        <f t="shared" si="49"/>
        <v>0</v>
      </c>
    </row>
    <row r="102" spans="1:18" x14ac:dyDescent="0.3">
      <c r="A102" s="1073"/>
      <c r="B102" s="1075"/>
      <c r="C102" s="372" t="s">
        <v>30</v>
      </c>
      <c r="D102" s="397">
        <f t="shared" si="31"/>
        <v>0</v>
      </c>
      <c r="E102" s="398">
        <f t="shared" si="32"/>
        <v>0</v>
      </c>
      <c r="F102" s="399">
        <f t="shared" si="33"/>
        <v>0</v>
      </c>
      <c r="G102" s="405">
        <f t="shared" si="50"/>
        <v>0</v>
      </c>
      <c r="H102" s="406">
        <f t="shared" si="50"/>
        <v>0</v>
      </c>
      <c r="I102" s="407">
        <f t="shared" si="46"/>
        <v>0</v>
      </c>
      <c r="J102" s="406">
        <f t="shared" si="51"/>
        <v>0</v>
      </c>
      <c r="K102" s="406">
        <f t="shared" si="51"/>
        <v>0</v>
      </c>
      <c r="L102" s="407">
        <f t="shared" si="47"/>
        <v>0</v>
      </c>
      <c r="M102" s="406">
        <f t="shared" si="52"/>
        <v>0</v>
      </c>
      <c r="N102" s="406">
        <f t="shared" si="52"/>
        <v>0</v>
      </c>
      <c r="O102" s="407">
        <f t="shared" si="48"/>
        <v>0</v>
      </c>
      <c r="P102" s="406">
        <f t="shared" si="53"/>
        <v>0</v>
      </c>
      <c r="Q102" s="408">
        <f t="shared" si="53"/>
        <v>0</v>
      </c>
      <c r="R102" s="409">
        <f t="shared" si="49"/>
        <v>0</v>
      </c>
    </row>
    <row r="103" spans="1:18" x14ac:dyDescent="0.3">
      <c r="A103" s="1073"/>
      <c r="B103" s="1075"/>
      <c r="C103" s="372" t="s">
        <v>31</v>
      </c>
      <c r="D103" s="397">
        <f t="shared" si="31"/>
        <v>0</v>
      </c>
      <c r="E103" s="398">
        <f t="shared" si="32"/>
        <v>0</v>
      </c>
      <c r="F103" s="399">
        <f t="shared" si="33"/>
        <v>0</v>
      </c>
      <c r="G103" s="405">
        <f t="shared" si="50"/>
        <v>0</v>
      </c>
      <c r="H103" s="406">
        <f t="shared" si="50"/>
        <v>0</v>
      </c>
      <c r="I103" s="407">
        <f t="shared" si="46"/>
        <v>0</v>
      </c>
      <c r="J103" s="406">
        <f t="shared" si="51"/>
        <v>0</v>
      </c>
      <c r="K103" s="406">
        <f t="shared" si="51"/>
        <v>0</v>
      </c>
      <c r="L103" s="407">
        <f t="shared" si="47"/>
        <v>0</v>
      </c>
      <c r="M103" s="406">
        <f t="shared" si="52"/>
        <v>0</v>
      </c>
      <c r="N103" s="406">
        <f t="shared" si="52"/>
        <v>0</v>
      </c>
      <c r="O103" s="407">
        <f t="shared" si="48"/>
        <v>0</v>
      </c>
      <c r="P103" s="406">
        <f t="shared" si="53"/>
        <v>0</v>
      </c>
      <c r="Q103" s="408">
        <f t="shared" si="53"/>
        <v>0</v>
      </c>
      <c r="R103" s="409">
        <f t="shared" si="49"/>
        <v>0</v>
      </c>
    </row>
    <row r="104" spans="1:18" x14ac:dyDescent="0.3">
      <c r="A104" s="1073"/>
      <c r="B104" s="1075"/>
      <c r="C104" s="372" t="s">
        <v>32</v>
      </c>
      <c r="D104" s="397">
        <f t="shared" si="31"/>
        <v>0</v>
      </c>
      <c r="E104" s="398">
        <f t="shared" si="32"/>
        <v>0</v>
      </c>
      <c r="F104" s="399">
        <f t="shared" si="33"/>
        <v>0</v>
      </c>
      <c r="G104" s="405">
        <f t="shared" si="50"/>
        <v>0</v>
      </c>
      <c r="H104" s="406">
        <f t="shared" si="50"/>
        <v>0</v>
      </c>
      <c r="I104" s="407">
        <f t="shared" si="46"/>
        <v>0</v>
      </c>
      <c r="J104" s="406">
        <f t="shared" si="51"/>
        <v>0</v>
      </c>
      <c r="K104" s="406">
        <f t="shared" si="51"/>
        <v>0</v>
      </c>
      <c r="L104" s="407">
        <f t="shared" si="47"/>
        <v>0</v>
      </c>
      <c r="M104" s="406">
        <f t="shared" si="52"/>
        <v>0</v>
      </c>
      <c r="N104" s="406">
        <f t="shared" si="52"/>
        <v>0</v>
      </c>
      <c r="O104" s="407">
        <f t="shared" si="48"/>
        <v>0</v>
      </c>
      <c r="P104" s="406">
        <f t="shared" si="53"/>
        <v>0</v>
      </c>
      <c r="Q104" s="408">
        <f t="shared" si="53"/>
        <v>0</v>
      </c>
      <c r="R104" s="409">
        <f t="shared" si="49"/>
        <v>0</v>
      </c>
    </row>
    <row r="105" spans="1:18" x14ac:dyDescent="0.3">
      <c r="A105" s="1073"/>
      <c r="B105" s="1075"/>
      <c r="C105" s="372" t="s">
        <v>33</v>
      </c>
      <c r="D105" s="397">
        <f t="shared" si="31"/>
        <v>0</v>
      </c>
      <c r="E105" s="398">
        <f t="shared" si="32"/>
        <v>0</v>
      </c>
      <c r="F105" s="399">
        <f t="shared" si="33"/>
        <v>0</v>
      </c>
      <c r="G105" s="405">
        <f t="shared" si="50"/>
        <v>0</v>
      </c>
      <c r="H105" s="406">
        <f t="shared" si="50"/>
        <v>0</v>
      </c>
      <c r="I105" s="407">
        <f t="shared" si="46"/>
        <v>0</v>
      </c>
      <c r="J105" s="406">
        <f t="shared" si="51"/>
        <v>0</v>
      </c>
      <c r="K105" s="406">
        <f t="shared" si="51"/>
        <v>0</v>
      </c>
      <c r="L105" s="407">
        <f t="shared" si="47"/>
        <v>0</v>
      </c>
      <c r="M105" s="406">
        <f t="shared" si="52"/>
        <v>0</v>
      </c>
      <c r="N105" s="406">
        <f t="shared" si="52"/>
        <v>0</v>
      </c>
      <c r="O105" s="407">
        <f t="shared" si="48"/>
        <v>0</v>
      </c>
      <c r="P105" s="406">
        <f t="shared" si="53"/>
        <v>0</v>
      </c>
      <c r="Q105" s="408">
        <f t="shared" si="53"/>
        <v>0</v>
      </c>
      <c r="R105" s="409">
        <f t="shared" si="49"/>
        <v>0</v>
      </c>
    </row>
    <row r="106" spans="1:18" ht="15" thickBot="1" x14ac:dyDescent="0.35">
      <c r="A106" s="1074"/>
      <c r="B106" s="1076"/>
      <c r="C106" s="385" t="s">
        <v>34</v>
      </c>
      <c r="D106" s="410">
        <f t="shared" si="31"/>
        <v>0</v>
      </c>
      <c r="E106" s="411">
        <f t="shared" si="32"/>
        <v>0</v>
      </c>
      <c r="F106" s="412">
        <f t="shared" si="33"/>
        <v>0</v>
      </c>
      <c r="G106" s="413">
        <f t="shared" si="50"/>
        <v>0</v>
      </c>
      <c r="H106" s="414">
        <f t="shared" si="50"/>
        <v>0</v>
      </c>
      <c r="I106" s="415">
        <f t="shared" si="46"/>
        <v>0</v>
      </c>
      <c r="J106" s="414">
        <f t="shared" si="51"/>
        <v>0</v>
      </c>
      <c r="K106" s="414">
        <f t="shared" si="51"/>
        <v>0</v>
      </c>
      <c r="L106" s="415">
        <f t="shared" si="47"/>
        <v>0</v>
      </c>
      <c r="M106" s="414">
        <f t="shared" si="52"/>
        <v>0</v>
      </c>
      <c r="N106" s="414">
        <f t="shared" si="52"/>
        <v>0</v>
      </c>
      <c r="O106" s="415">
        <f t="shared" si="48"/>
        <v>0</v>
      </c>
      <c r="P106" s="414">
        <f t="shared" si="53"/>
        <v>0</v>
      </c>
      <c r="Q106" s="416">
        <f t="shared" si="53"/>
        <v>0</v>
      </c>
      <c r="R106" s="417">
        <f t="shared" si="49"/>
        <v>0</v>
      </c>
    </row>
    <row r="107" spans="1:18" x14ac:dyDescent="0.3">
      <c r="A107" s="1073" t="s">
        <v>180</v>
      </c>
      <c r="B107" s="1075" t="s">
        <v>13</v>
      </c>
      <c r="C107" s="372" t="s">
        <v>25</v>
      </c>
      <c r="D107" s="373">
        <f t="shared" si="31"/>
        <v>0</v>
      </c>
      <c r="E107" s="374">
        <f t="shared" si="32"/>
        <v>0</v>
      </c>
      <c r="F107" s="375">
        <f t="shared" si="33"/>
        <v>0</v>
      </c>
      <c r="G107" s="392">
        <v>0</v>
      </c>
      <c r="H107" s="393">
        <f>(G77+I77/2)*((G46-H46)*(1+$S$46))*Faktory!$D$10</f>
        <v>0</v>
      </c>
      <c r="I107" s="314">
        <f>H107</f>
        <v>0</v>
      </c>
      <c r="J107" s="393">
        <v>0</v>
      </c>
      <c r="K107" s="393">
        <f>(J77+L77/2)*((J46-K46)*(1+$S$46))*Faktory!$D$10</f>
        <v>0</v>
      </c>
      <c r="L107" s="314">
        <f>K107</f>
        <v>0</v>
      </c>
      <c r="M107" s="393">
        <v>0</v>
      </c>
      <c r="N107" s="393">
        <f>(M77+O77/2)*((M46-N46)*(1+$S$46))*Faktory!$D$10</f>
        <v>0</v>
      </c>
      <c r="O107" s="314">
        <f>N107</f>
        <v>0</v>
      </c>
      <c r="P107" s="393">
        <v>0</v>
      </c>
      <c r="Q107" s="394">
        <f>(P77+R77/2)*((P46-Q46)*(1+$S$46))*Faktory!$D$10</f>
        <v>0</v>
      </c>
      <c r="R107" s="395">
        <f>Q107</f>
        <v>0</v>
      </c>
    </row>
    <row r="108" spans="1:18" x14ac:dyDescent="0.3">
      <c r="A108" s="1073"/>
      <c r="B108" s="1075"/>
      <c r="C108" s="372" t="s">
        <v>26</v>
      </c>
      <c r="D108" s="373">
        <f t="shared" si="31"/>
        <v>0</v>
      </c>
      <c r="E108" s="374">
        <f t="shared" si="32"/>
        <v>0</v>
      </c>
      <c r="F108" s="375">
        <f t="shared" si="33"/>
        <v>0</v>
      </c>
      <c r="G108" s="382">
        <v>0</v>
      </c>
      <c r="H108" s="383">
        <f>(G78+I78/2)*((G47-H47)*(1+$S$46))*Faktory!$D$10</f>
        <v>0</v>
      </c>
      <c r="I108" s="325">
        <f t="shared" ref="I108:I116" si="54">H108</f>
        <v>0</v>
      </c>
      <c r="J108" s="383">
        <v>0</v>
      </c>
      <c r="K108" s="383">
        <f>(J78+L78/2)*((J47-K47)*(1+$S$46))*Faktory!$D$10</f>
        <v>0</v>
      </c>
      <c r="L108" s="325">
        <f t="shared" ref="L108:L116" si="55">K108</f>
        <v>0</v>
      </c>
      <c r="M108" s="383">
        <v>0</v>
      </c>
      <c r="N108" s="383">
        <f>(M78+O78/2)*((M47-N47)*(1+$S$46))*Faktory!$D$10</f>
        <v>0</v>
      </c>
      <c r="O108" s="325">
        <f t="shared" ref="O108:O116" si="56">N108</f>
        <v>0</v>
      </c>
      <c r="P108" s="383">
        <v>0</v>
      </c>
      <c r="Q108" s="384">
        <f>(P78+R78/2)*((P47-Q47)*(1+$S$46))*Faktory!$D$10</f>
        <v>0</v>
      </c>
      <c r="R108" s="327">
        <f t="shared" ref="R108:R116" si="57">Q108</f>
        <v>0</v>
      </c>
    </row>
    <row r="109" spans="1:18" x14ac:dyDescent="0.3">
      <c r="A109" s="1073"/>
      <c r="B109" s="1075"/>
      <c r="C109" s="372" t="s">
        <v>27</v>
      </c>
      <c r="D109" s="373">
        <f t="shared" si="31"/>
        <v>0</v>
      </c>
      <c r="E109" s="374">
        <f t="shared" si="32"/>
        <v>0</v>
      </c>
      <c r="F109" s="375">
        <f t="shared" si="33"/>
        <v>0</v>
      </c>
      <c r="G109" s="382">
        <v>0</v>
      </c>
      <c r="H109" s="383">
        <f>(G79+I79/2)*((G48-H48)*(1+$S$46))*Faktory!$D$10</f>
        <v>0</v>
      </c>
      <c r="I109" s="325">
        <f t="shared" si="54"/>
        <v>0</v>
      </c>
      <c r="J109" s="383">
        <v>0</v>
      </c>
      <c r="K109" s="383">
        <f>(J79+L79/2)*((J48-K48)*(1+$S$46))*Faktory!$D$10</f>
        <v>0</v>
      </c>
      <c r="L109" s="325">
        <f t="shared" si="55"/>
        <v>0</v>
      </c>
      <c r="M109" s="383">
        <v>0</v>
      </c>
      <c r="N109" s="383">
        <f>(M79+O79/2)*((M48-N48)*(1+$S$46))*Faktory!$D$10</f>
        <v>0</v>
      </c>
      <c r="O109" s="325">
        <f t="shared" si="56"/>
        <v>0</v>
      </c>
      <c r="P109" s="383">
        <v>0</v>
      </c>
      <c r="Q109" s="384">
        <f>(P79+R79/2)*((P48-Q48)*(1+$S$46))*Faktory!$D$10</f>
        <v>0</v>
      </c>
      <c r="R109" s="327">
        <f t="shared" si="57"/>
        <v>0</v>
      </c>
    </row>
    <row r="110" spans="1:18" x14ac:dyDescent="0.3">
      <c r="A110" s="1073"/>
      <c r="B110" s="1075"/>
      <c r="C110" s="372" t="s">
        <v>28</v>
      </c>
      <c r="D110" s="373">
        <f t="shared" si="31"/>
        <v>0</v>
      </c>
      <c r="E110" s="374">
        <f t="shared" si="32"/>
        <v>0</v>
      </c>
      <c r="F110" s="375">
        <f t="shared" si="33"/>
        <v>0</v>
      </c>
      <c r="G110" s="382">
        <v>0</v>
      </c>
      <c r="H110" s="383">
        <f>(G80+I80/2)*((G49-H49)*(1+$S$46))*Faktory!$D$10</f>
        <v>0</v>
      </c>
      <c r="I110" s="325">
        <f t="shared" si="54"/>
        <v>0</v>
      </c>
      <c r="J110" s="383">
        <v>0</v>
      </c>
      <c r="K110" s="383">
        <f>(J80+L80/2)*((J49-K49)*(1+$S$46))*Faktory!$D$10</f>
        <v>0</v>
      </c>
      <c r="L110" s="325">
        <f t="shared" si="55"/>
        <v>0</v>
      </c>
      <c r="M110" s="383">
        <v>0</v>
      </c>
      <c r="N110" s="383">
        <f>(M80+O80/2)*((M49-N49)*(1+$S$46))*Faktory!$D$10</f>
        <v>0</v>
      </c>
      <c r="O110" s="325">
        <f t="shared" si="56"/>
        <v>0</v>
      </c>
      <c r="P110" s="383">
        <v>0</v>
      </c>
      <c r="Q110" s="384">
        <f>(P80+R80/2)*((P49-Q49)*(1+$S$46))*Faktory!$D$10</f>
        <v>0</v>
      </c>
      <c r="R110" s="327">
        <f t="shared" si="57"/>
        <v>0</v>
      </c>
    </row>
    <row r="111" spans="1:18" x14ac:dyDescent="0.3">
      <c r="A111" s="1073"/>
      <c r="B111" s="1075"/>
      <c r="C111" s="372" t="s">
        <v>29</v>
      </c>
      <c r="D111" s="373">
        <f t="shared" si="31"/>
        <v>0</v>
      </c>
      <c r="E111" s="374">
        <f t="shared" si="32"/>
        <v>0</v>
      </c>
      <c r="F111" s="375">
        <f t="shared" si="33"/>
        <v>0</v>
      </c>
      <c r="G111" s="382">
        <v>0</v>
      </c>
      <c r="H111" s="383">
        <f>(G81+I81/2)*((G50-H50)*(1+$S$46))*Faktory!$D$10</f>
        <v>0</v>
      </c>
      <c r="I111" s="325">
        <f t="shared" si="54"/>
        <v>0</v>
      </c>
      <c r="J111" s="383">
        <v>0</v>
      </c>
      <c r="K111" s="383">
        <f>(J81+L81/2)*((J50-K50)*(1+$S$46))*Faktory!$D$10</f>
        <v>0</v>
      </c>
      <c r="L111" s="325">
        <f t="shared" si="55"/>
        <v>0</v>
      </c>
      <c r="M111" s="383">
        <v>0</v>
      </c>
      <c r="N111" s="383">
        <f>(M81+O81/2)*((M50-N50)*(1+$S$46))*Faktory!$D$10</f>
        <v>0</v>
      </c>
      <c r="O111" s="325">
        <f t="shared" si="56"/>
        <v>0</v>
      </c>
      <c r="P111" s="383">
        <v>0</v>
      </c>
      <c r="Q111" s="384">
        <f>(P81+R81/2)*((P50-Q50)*(1+$S$46))*Faktory!$D$10</f>
        <v>0</v>
      </c>
      <c r="R111" s="327">
        <f t="shared" si="57"/>
        <v>0</v>
      </c>
    </row>
    <row r="112" spans="1:18" x14ac:dyDescent="0.3">
      <c r="A112" s="1073"/>
      <c r="B112" s="1075"/>
      <c r="C112" s="372" t="s">
        <v>30</v>
      </c>
      <c r="D112" s="373">
        <f t="shared" si="31"/>
        <v>0</v>
      </c>
      <c r="E112" s="374">
        <f t="shared" si="32"/>
        <v>0</v>
      </c>
      <c r="F112" s="375">
        <f t="shared" si="33"/>
        <v>0</v>
      </c>
      <c r="G112" s="382">
        <v>0</v>
      </c>
      <c r="H112" s="383">
        <f>(G82+I82/2)*((G51-H51)*(1+$S$46))*Faktory!$D$10</f>
        <v>0</v>
      </c>
      <c r="I112" s="325">
        <f t="shared" si="54"/>
        <v>0</v>
      </c>
      <c r="J112" s="383">
        <v>0</v>
      </c>
      <c r="K112" s="383">
        <f>(J82+L82/2)*((J51-K51)*(1+$S$46))*Faktory!$D$10</f>
        <v>0</v>
      </c>
      <c r="L112" s="325">
        <f t="shared" si="55"/>
        <v>0</v>
      </c>
      <c r="M112" s="383">
        <v>0</v>
      </c>
      <c r="N112" s="383">
        <f>(M82+O82/2)*((M51-N51)*(1+$S$46))*Faktory!$D$10</f>
        <v>0</v>
      </c>
      <c r="O112" s="325">
        <f t="shared" si="56"/>
        <v>0</v>
      </c>
      <c r="P112" s="383">
        <v>0</v>
      </c>
      <c r="Q112" s="384">
        <f>(P82+R82/2)*((P51-Q51)*(1+$S$46))*Faktory!$D$10</f>
        <v>0</v>
      </c>
      <c r="R112" s="327">
        <f t="shared" si="57"/>
        <v>0</v>
      </c>
    </row>
    <row r="113" spans="1:18" x14ac:dyDescent="0.3">
      <c r="A113" s="1073"/>
      <c r="B113" s="1075"/>
      <c r="C113" s="372" t="s">
        <v>31</v>
      </c>
      <c r="D113" s="373">
        <f t="shared" si="31"/>
        <v>0</v>
      </c>
      <c r="E113" s="374">
        <f t="shared" si="32"/>
        <v>0</v>
      </c>
      <c r="F113" s="375">
        <f t="shared" si="33"/>
        <v>0</v>
      </c>
      <c r="G113" s="382">
        <v>0</v>
      </c>
      <c r="H113" s="383">
        <f>(G83+I83/2)*((G52-H52)*(1+$S$46))*Faktory!$D$10</f>
        <v>0</v>
      </c>
      <c r="I113" s="325">
        <f t="shared" si="54"/>
        <v>0</v>
      </c>
      <c r="J113" s="383">
        <v>0</v>
      </c>
      <c r="K113" s="383">
        <f>(J83+L83/2)*((J52-K52)*(1+$S$46))*Faktory!$D$10</f>
        <v>0</v>
      </c>
      <c r="L113" s="325">
        <f t="shared" si="55"/>
        <v>0</v>
      </c>
      <c r="M113" s="383">
        <v>0</v>
      </c>
      <c r="N113" s="383">
        <f>(M83+O83/2)*((M52-N52)*(1+$S$46))*Faktory!$D$10</f>
        <v>0</v>
      </c>
      <c r="O113" s="325">
        <f t="shared" si="56"/>
        <v>0</v>
      </c>
      <c r="P113" s="383">
        <v>0</v>
      </c>
      <c r="Q113" s="384">
        <f>(P83+R83/2)*((P52-Q52)*(1+$S$46))*Faktory!$D$10</f>
        <v>0</v>
      </c>
      <c r="R113" s="327">
        <f t="shared" si="57"/>
        <v>0</v>
      </c>
    </row>
    <row r="114" spans="1:18" x14ac:dyDescent="0.3">
      <c r="A114" s="1073"/>
      <c r="B114" s="1075"/>
      <c r="C114" s="372" t="s">
        <v>32</v>
      </c>
      <c r="D114" s="373">
        <f t="shared" si="31"/>
        <v>0</v>
      </c>
      <c r="E114" s="374">
        <f t="shared" si="32"/>
        <v>0</v>
      </c>
      <c r="F114" s="375">
        <f t="shared" si="33"/>
        <v>0</v>
      </c>
      <c r="G114" s="382">
        <v>0</v>
      </c>
      <c r="H114" s="383">
        <f>(G84+I84/2)*((G53-H53)*(1+$S$46))*Faktory!$D$10</f>
        <v>0</v>
      </c>
      <c r="I114" s="325">
        <f t="shared" si="54"/>
        <v>0</v>
      </c>
      <c r="J114" s="383">
        <v>0</v>
      </c>
      <c r="K114" s="383">
        <f>(J84+L84/2)*((J53-K53)*(1+$S$46))*Faktory!$D$10</f>
        <v>0</v>
      </c>
      <c r="L114" s="325">
        <f t="shared" si="55"/>
        <v>0</v>
      </c>
      <c r="M114" s="383">
        <v>0</v>
      </c>
      <c r="N114" s="383">
        <f>(M84+O84/2)*((M53-N53)*(1+$S$46))*Faktory!$D$10</f>
        <v>0</v>
      </c>
      <c r="O114" s="325">
        <f t="shared" si="56"/>
        <v>0</v>
      </c>
      <c r="P114" s="383">
        <v>0</v>
      </c>
      <c r="Q114" s="384">
        <f>(P84+R84/2)*((P53-Q53)*(1+$S$46))*Faktory!$D$10</f>
        <v>0</v>
      </c>
      <c r="R114" s="327">
        <f t="shared" si="57"/>
        <v>0</v>
      </c>
    </row>
    <row r="115" spans="1:18" x14ac:dyDescent="0.3">
      <c r="A115" s="1073"/>
      <c r="B115" s="1075"/>
      <c r="C115" s="372" t="s">
        <v>33</v>
      </c>
      <c r="D115" s="373">
        <f t="shared" si="31"/>
        <v>0</v>
      </c>
      <c r="E115" s="374">
        <f t="shared" si="32"/>
        <v>0</v>
      </c>
      <c r="F115" s="375">
        <f t="shared" si="33"/>
        <v>0</v>
      </c>
      <c r="G115" s="382">
        <v>0</v>
      </c>
      <c r="H115" s="383">
        <f>(G85+I85/2)*((G54-H54)*(1+$S$46))*Faktory!$D$10</f>
        <v>0</v>
      </c>
      <c r="I115" s="325">
        <f t="shared" si="54"/>
        <v>0</v>
      </c>
      <c r="J115" s="383">
        <v>0</v>
      </c>
      <c r="K115" s="383">
        <f>(J85+L85/2)*((J54-K54)*(1+$S$46))*Faktory!$D$10</f>
        <v>0</v>
      </c>
      <c r="L115" s="325">
        <f t="shared" si="55"/>
        <v>0</v>
      </c>
      <c r="M115" s="383">
        <v>0</v>
      </c>
      <c r="N115" s="383">
        <f>(M85+O85/2)*((M54-N54)*(1+$S$46))*Faktory!$D$10</f>
        <v>0</v>
      </c>
      <c r="O115" s="325">
        <f t="shared" si="56"/>
        <v>0</v>
      </c>
      <c r="P115" s="383">
        <v>0</v>
      </c>
      <c r="Q115" s="384">
        <f>(P85+R85/2)*((P54-Q54)*(1+$S$46))*Faktory!$D$10</f>
        <v>0</v>
      </c>
      <c r="R115" s="327">
        <f t="shared" si="57"/>
        <v>0</v>
      </c>
    </row>
    <row r="116" spans="1:18" ht="15" thickBot="1" x14ac:dyDescent="0.35">
      <c r="A116" s="1074"/>
      <c r="B116" s="1076"/>
      <c r="C116" s="385" t="s">
        <v>34</v>
      </c>
      <c r="D116" s="386">
        <f t="shared" si="31"/>
        <v>0</v>
      </c>
      <c r="E116" s="387">
        <f t="shared" si="32"/>
        <v>0</v>
      </c>
      <c r="F116" s="388">
        <f t="shared" si="33"/>
        <v>0</v>
      </c>
      <c r="G116" s="389">
        <v>0</v>
      </c>
      <c r="H116" s="390">
        <f>(G86+I86/2)*((G55-H55)*(1+$S$46))*Faktory!$D$10</f>
        <v>0</v>
      </c>
      <c r="I116" s="334">
        <f t="shared" si="54"/>
        <v>0</v>
      </c>
      <c r="J116" s="390">
        <v>0</v>
      </c>
      <c r="K116" s="390">
        <f>(J86+L86/2)*((J55-K55)*(1+$S$46))*Faktory!$D$10</f>
        <v>0</v>
      </c>
      <c r="L116" s="334">
        <f t="shared" si="55"/>
        <v>0</v>
      </c>
      <c r="M116" s="390">
        <v>0</v>
      </c>
      <c r="N116" s="390">
        <f>(M86+O86/2)*((M55-N55)*(1+$S$46))*Faktory!$D$10</f>
        <v>0</v>
      </c>
      <c r="O116" s="334">
        <f t="shared" si="56"/>
        <v>0</v>
      </c>
      <c r="P116" s="390">
        <v>0</v>
      </c>
      <c r="Q116" s="391">
        <f>(P86+R86/2)*((P55-Q55)*(1+$S$46))*Faktory!$D$10</f>
        <v>0</v>
      </c>
      <c r="R116" s="336">
        <f t="shared" si="57"/>
        <v>0</v>
      </c>
    </row>
    <row r="117" spans="1:18" x14ac:dyDescent="0.3">
      <c r="A117" s="1073" t="s">
        <v>182</v>
      </c>
      <c r="B117" s="1075" t="s">
        <v>13</v>
      </c>
      <c r="C117" s="372" t="s">
        <v>25</v>
      </c>
      <c r="D117" s="373">
        <f t="shared" ref="D117:D156" si="58">G117+J117+M117+P117</f>
        <v>0</v>
      </c>
      <c r="E117" s="374">
        <f t="shared" ref="E117:E156" si="59">H117+K117+N117+Q117</f>
        <v>0</v>
      </c>
      <c r="F117" s="375">
        <f>E117-D117</f>
        <v>0</v>
      </c>
      <c r="G117" s="392">
        <f t="shared" ref="G117:H126" si="60">G6*G16</f>
        <v>0</v>
      </c>
      <c r="H117" s="393">
        <f t="shared" si="60"/>
        <v>0</v>
      </c>
      <c r="I117" s="314">
        <f>H117-G117</f>
        <v>0</v>
      </c>
      <c r="J117" s="393">
        <f t="shared" ref="J117:K126" si="61">J6*J16</f>
        <v>0</v>
      </c>
      <c r="K117" s="393">
        <f t="shared" si="61"/>
        <v>0</v>
      </c>
      <c r="L117" s="314">
        <f t="shared" ref="L117:L126" si="62">K117-J117</f>
        <v>0</v>
      </c>
      <c r="M117" s="393">
        <f t="shared" ref="M117:N126" si="63">M6*M16</f>
        <v>0</v>
      </c>
      <c r="N117" s="393">
        <f t="shared" si="63"/>
        <v>0</v>
      </c>
      <c r="O117" s="314">
        <f t="shared" ref="O117:O126" si="64">N117-M117</f>
        <v>0</v>
      </c>
      <c r="P117" s="393">
        <f t="shared" ref="P117:Q126" si="65">P6*P16</f>
        <v>0</v>
      </c>
      <c r="Q117" s="394">
        <f t="shared" si="65"/>
        <v>0</v>
      </c>
      <c r="R117" s="395">
        <f t="shared" ref="R117:R126" si="66">Q117-P117</f>
        <v>0</v>
      </c>
    </row>
    <row r="118" spans="1:18" x14ac:dyDescent="0.3">
      <c r="A118" s="1073"/>
      <c r="B118" s="1075"/>
      <c r="C118" s="372" t="s">
        <v>26</v>
      </c>
      <c r="D118" s="373">
        <f t="shared" si="58"/>
        <v>0</v>
      </c>
      <c r="E118" s="374">
        <f t="shared" si="59"/>
        <v>0</v>
      </c>
      <c r="F118" s="375">
        <f t="shared" ref="F118:F126" si="67">E118-D118</f>
        <v>0</v>
      </c>
      <c r="G118" s="382">
        <f t="shared" si="60"/>
        <v>0</v>
      </c>
      <c r="H118" s="383">
        <f t="shared" si="60"/>
        <v>0</v>
      </c>
      <c r="I118" s="325">
        <f t="shared" ref="I118:I126" si="68">H118-G118</f>
        <v>0</v>
      </c>
      <c r="J118" s="383">
        <f t="shared" si="61"/>
        <v>0</v>
      </c>
      <c r="K118" s="383">
        <f t="shared" si="61"/>
        <v>0</v>
      </c>
      <c r="L118" s="325">
        <f t="shared" si="62"/>
        <v>0</v>
      </c>
      <c r="M118" s="383">
        <f t="shared" si="63"/>
        <v>0</v>
      </c>
      <c r="N118" s="383">
        <f t="shared" si="63"/>
        <v>0</v>
      </c>
      <c r="O118" s="325">
        <f t="shared" si="64"/>
        <v>0</v>
      </c>
      <c r="P118" s="383">
        <f t="shared" si="65"/>
        <v>0</v>
      </c>
      <c r="Q118" s="384">
        <f t="shared" si="65"/>
        <v>0</v>
      </c>
      <c r="R118" s="327">
        <f t="shared" si="66"/>
        <v>0</v>
      </c>
    </row>
    <row r="119" spans="1:18" x14ac:dyDescent="0.3">
      <c r="A119" s="1073"/>
      <c r="B119" s="1075"/>
      <c r="C119" s="372" t="s">
        <v>27</v>
      </c>
      <c r="D119" s="373">
        <f t="shared" si="58"/>
        <v>0</v>
      </c>
      <c r="E119" s="374">
        <f t="shared" si="59"/>
        <v>0</v>
      </c>
      <c r="F119" s="375">
        <f t="shared" si="67"/>
        <v>0</v>
      </c>
      <c r="G119" s="382">
        <f t="shared" si="60"/>
        <v>0</v>
      </c>
      <c r="H119" s="383">
        <f t="shared" si="60"/>
        <v>0</v>
      </c>
      <c r="I119" s="325">
        <f t="shared" si="68"/>
        <v>0</v>
      </c>
      <c r="J119" s="383">
        <f t="shared" si="61"/>
        <v>0</v>
      </c>
      <c r="K119" s="383">
        <f t="shared" si="61"/>
        <v>0</v>
      </c>
      <c r="L119" s="325">
        <f t="shared" si="62"/>
        <v>0</v>
      </c>
      <c r="M119" s="383">
        <f t="shared" si="63"/>
        <v>0</v>
      </c>
      <c r="N119" s="383">
        <f t="shared" si="63"/>
        <v>0</v>
      </c>
      <c r="O119" s="325">
        <f t="shared" si="64"/>
        <v>0</v>
      </c>
      <c r="P119" s="383">
        <f t="shared" si="65"/>
        <v>0</v>
      </c>
      <c r="Q119" s="384">
        <f t="shared" si="65"/>
        <v>0</v>
      </c>
      <c r="R119" s="327">
        <f t="shared" si="66"/>
        <v>0</v>
      </c>
    </row>
    <row r="120" spans="1:18" x14ac:dyDescent="0.3">
      <c r="A120" s="1073"/>
      <c r="B120" s="1075"/>
      <c r="C120" s="372" t="s">
        <v>28</v>
      </c>
      <c r="D120" s="373">
        <f t="shared" si="58"/>
        <v>0</v>
      </c>
      <c r="E120" s="374">
        <f t="shared" si="59"/>
        <v>0</v>
      </c>
      <c r="F120" s="375">
        <f t="shared" si="67"/>
        <v>0</v>
      </c>
      <c r="G120" s="382">
        <f t="shared" si="60"/>
        <v>0</v>
      </c>
      <c r="H120" s="383">
        <f t="shared" si="60"/>
        <v>0</v>
      </c>
      <c r="I120" s="325">
        <f t="shared" si="68"/>
        <v>0</v>
      </c>
      <c r="J120" s="383">
        <f t="shared" si="61"/>
        <v>0</v>
      </c>
      <c r="K120" s="383">
        <f t="shared" si="61"/>
        <v>0</v>
      </c>
      <c r="L120" s="325">
        <f t="shared" si="62"/>
        <v>0</v>
      </c>
      <c r="M120" s="383">
        <f t="shared" si="63"/>
        <v>0</v>
      </c>
      <c r="N120" s="383">
        <f t="shared" si="63"/>
        <v>0</v>
      </c>
      <c r="O120" s="325">
        <f t="shared" si="64"/>
        <v>0</v>
      </c>
      <c r="P120" s="383">
        <f t="shared" si="65"/>
        <v>0</v>
      </c>
      <c r="Q120" s="384">
        <f t="shared" si="65"/>
        <v>0</v>
      </c>
      <c r="R120" s="327">
        <f t="shared" si="66"/>
        <v>0</v>
      </c>
    </row>
    <row r="121" spans="1:18" x14ac:dyDescent="0.3">
      <c r="A121" s="1073"/>
      <c r="B121" s="1075"/>
      <c r="C121" s="372" t="s">
        <v>29</v>
      </c>
      <c r="D121" s="373">
        <f t="shared" si="58"/>
        <v>0</v>
      </c>
      <c r="E121" s="374">
        <f t="shared" si="59"/>
        <v>0</v>
      </c>
      <c r="F121" s="375">
        <f t="shared" si="67"/>
        <v>0</v>
      </c>
      <c r="G121" s="382">
        <f t="shared" si="60"/>
        <v>0</v>
      </c>
      <c r="H121" s="383">
        <f t="shared" si="60"/>
        <v>0</v>
      </c>
      <c r="I121" s="325">
        <f t="shared" si="68"/>
        <v>0</v>
      </c>
      <c r="J121" s="383">
        <f t="shared" si="61"/>
        <v>0</v>
      </c>
      <c r="K121" s="383">
        <f t="shared" si="61"/>
        <v>0</v>
      </c>
      <c r="L121" s="325">
        <f t="shared" si="62"/>
        <v>0</v>
      </c>
      <c r="M121" s="383">
        <f t="shared" si="63"/>
        <v>0</v>
      </c>
      <c r="N121" s="383">
        <f t="shared" si="63"/>
        <v>0</v>
      </c>
      <c r="O121" s="325">
        <f t="shared" si="64"/>
        <v>0</v>
      </c>
      <c r="P121" s="383">
        <f t="shared" si="65"/>
        <v>0</v>
      </c>
      <c r="Q121" s="384">
        <f t="shared" si="65"/>
        <v>0</v>
      </c>
      <c r="R121" s="327">
        <f t="shared" si="66"/>
        <v>0</v>
      </c>
    </row>
    <row r="122" spans="1:18" x14ac:dyDescent="0.3">
      <c r="A122" s="1073"/>
      <c r="B122" s="1075"/>
      <c r="C122" s="372" t="s">
        <v>30</v>
      </c>
      <c r="D122" s="373">
        <f t="shared" si="58"/>
        <v>0</v>
      </c>
      <c r="E122" s="374">
        <f t="shared" si="59"/>
        <v>0</v>
      </c>
      <c r="F122" s="375">
        <f t="shared" si="67"/>
        <v>0</v>
      </c>
      <c r="G122" s="382">
        <f t="shared" si="60"/>
        <v>0</v>
      </c>
      <c r="H122" s="383">
        <f t="shared" si="60"/>
        <v>0</v>
      </c>
      <c r="I122" s="325">
        <f t="shared" si="68"/>
        <v>0</v>
      </c>
      <c r="J122" s="383">
        <f t="shared" si="61"/>
        <v>0</v>
      </c>
      <c r="K122" s="383">
        <f t="shared" si="61"/>
        <v>0</v>
      </c>
      <c r="L122" s="325">
        <f t="shared" si="62"/>
        <v>0</v>
      </c>
      <c r="M122" s="383">
        <f t="shared" si="63"/>
        <v>0</v>
      </c>
      <c r="N122" s="383">
        <f t="shared" si="63"/>
        <v>0</v>
      </c>
      <c r="O122" s="325">
        <f t="shared" si="64"/>
        <v>0</v>
      </c>
      <c r="P122" s="383">
        <f t="shared" si="65"/>
        <v>0</v>
      </c>
      <c r="Q122" s="384">
        <f t="shared" si="65"/>
        <v>0</v>
      </c>
      <c r="R122" s="327">
        <f t="shared" si="66"/>
        <v>0</v>
      </c>
    </row>
    <row r="123" spans="1:18" x14ac:dyDescent="0.3">
      <c r="A123" s="1073"/>
      <c r="B123" s="1075"/>
      <c r="C123" s="372" t="s">
        <v>31</v>
      </c>
      <c r="D123" s="373">
        <f t="shared" si="58"/>
        <v>0</v>
      </c>
      <c r="E123" s="374">
        <f t="shared" si="59"/>
        <v>0</v>
      </c>
      <c r="F123" s="375">
        <f t="shared" si="67"/>
        <v>0</v>
      </c>
      <c r="G123" s="382">
        <f t="shared" si="60"/>
        <v>0</v>
      </c>
      <c r="H123" s="383">
        <f t="shared" si="60"/>
        <v>0</v>
      </c>
      <c r="I123" s="325">
        <f t="shared" si="68"/>
        <v>0</v>
      </c>
      <c r="J123" s="383">
        <f t="shared" si="61"/>
        <v>0</v>
      </c>
      <c r="K123" s="383">
        <f t="shared" si="61"/>
        <v>0</v>
      </c>
      <c r="L123" s="325">
        <f t="shared" si="62"/>
        <v>0</v>
      </c>
      <c r="M123" s="383">
        <f t="shared" si="63"/>
        <v>0</v>
      </c>
      <c r="N123" s="383">
        <f t="shared" si="63"/>
        <v>0</v>
      </c>
      <c r="O123" s="325">
        <f t="shared" si="64"/>
        <v>0</v>
      </c>
      <c r="P123" s="383">
        <f t="shared" si="65"/>
        <v>0</v>
      </c>
      <c r="Q123" s="384">
        <f t="shared" si="65"/>
        <v>0</v>
      </c>
      <c r="R123" s="327">
        <f t="shared" si="66"/>
        <v>0</v>
      </c>
    </row>
    <row r="124" spans="1:18" x14ac:dyDescent="0.3">
      <c r="A124" s="1073"/>
      <c r="B124" s="1075"/>
      <c r="C124" s="372" t="s">
        <v>32</v>
      </c>
      <c r="D124" s="373">
        <f t="shared" si="58"/>
        <v>0</v>
      </c>
      <c r="E124" s="374">
        <f t="shared" si="59"/>
        <v>0</v>
      </c>
      <c r="F124" s="375">
        <f t="shared" si="67"/>
        <v>0</v>
      </c>
      <c r="G124" s="382">
        <f t="shared" si="60"/>
        <v>0</v>
      </c>
      <c r="H124" s="383">
        <f t="shared" si="60"/>
        <v>0</v>
      </c>
      <c r="I124" s="325">
        <f t="shared" si="68"/>
        <v>0</v>
      </c>
      <c r="J124" s="383">
        <f t="shared" si="61"/>
        <v>0</v>
      </c>
      <c r="K124" s="383">
        <f t="shared" si="61"/>
        <v>0</v>
      </c>
      <c r="L124" s="325">
        <f t="shared" si="62"/>
        <v>0</v>
      </c>
      <c r="M124" s="383">
        <f t="shared" si="63"/>
        <v>0</v>
      </c>
      <c r="N124" s="383">
        <f t="shared" si="63"/>
        <v>0</v>
      </c>
      <c r="O124" s="325">
        <f t="shared" si="64"/>
        <v>0</v>
      </c>
      <c r="P124" s="383">
        <f t="shared" si="65"/>
        <v>0</v>
      </c>
      <c r="Q124" s="384">
        <f t="shared" si="65"/>
        <v>0</v>
      </c>
      <c r="R124" s="327">
        <f t="shared" si="66"/>
        <v>0</v>
      </c>
    </row>
    <row r="125" spans="1:18" x14ac:dyDescent="0.3">
      <c r="A125" s="1073"/>
      <c r="B125" s="1075"/>
      <c r="C125" s="372" t="s">
        <v>33</v>
      </c>
      <c r="D125" s="373">
        <f t="shared" si="58"/>
        <v>0</v>
      </c>
      <c r="E125" s="374">
        <f t="shared" si="59"/>
        <v>0</v>
      </c>
      <c r="F125" s="375">
        <f t="shared" si="67"/>
        <v>0</v>
      </c>
      <c r="G125" s="382">
        <f t="shared" si="60"/>
        <v>0</v>
      </c>
      <c r="H125" s="383">
        <f t="shared" si="60"/>
        <v>0</v>
      </c>
      <c r="I125" s="325">
        <f t="shared" si="68"/>
        <v>0</v>
      </c>
      <c r="J125" s="383">
        <f t="shared" si="61"/>
        <v>0</v>
      </c>
      <c r="K125" s="383">
        <f t="shared" si="61"/>
        <v>0</v>
      </c>
      <c r="L125" s="325">
        <f t="shared" si="62"/>
        <v>0</v>
      </c>
      <c r="M125" s="383">
        <f t="shared" si="63"/>
        <v>0</v>
      </c>
      <c r="N125" s="383">
        <f t="shared" si="63"/>
        <v>0</v>
      </c>
      <c r="O125" s="325">
        <f t="shared" si="64"/>
        <v>0</v>
      </c>
      <c r="P125" s="383">
        <f t="shared" si="65"/>
        <v>0</v>
      </c>
      <c r="Q125" s="384">
        <f t="shared" si="65"/>
        <v>0</v>
      </c>
      <c r="R125" s="327">
        <f t="shared" si="66"/>
        <v>0</v>
      </c>
    </row>
    <row r="126" spans="1:18" ht="15" thickBot="1" x14ac:dyDescent="0.35">
      <c r="A126" s="1074"/>
      <c r="B126" s="1076"/>
      <c r="C126" s="385" t="s">
        <v>34</v>
      </c>
      <c r="D126" s="386">
        <f t="shared" si="58"/>
        <v>0</v>
      </c>
      <c r="E126" s="387">
        <f t="shared" si="59"/>
        <v>0</v>
      </c>
      <c r="F126" s="388">
        <f t="shared" si="67"/>
        <v>0</v>
      </c>
      <c r="G126" s="389">
        <f t="shared" si="60"/>
        <v>0</v>
      </c>
      <c r="H126" s="390">
        <f t="shared" si="60"/>
        <v>0</v>
      </c>
      <c r="I126" s="334">
        <f t="shared" si="68"/>
        <v>0</v>
      </c>
      <c r="J126" s="390">
        <f t="shared" si="61"/>
        <v>0</v>
      </c>
      <c r="K126" s="390">
        <f t="shared" si="61"/>
        <v>0</v>
      </c>
      <c r="L126" s="334">
        <f t="shared" si="62"/>
        <v>0</v>
      </c>
      <c r="M126" s="390">
        <f t="shared" si="63"/>
        <v>0</v>
      </c>
      <c r="N126" s="390">
        <f t="shared" si="63"/>
        <v>0</v>
      </c>
      <c r="O126" s="334">
        <f t="shared" si="64"/>
        <v>0</v>
      </c>
      <c r="P126" s="390">
        <f t="shared" si="65"/>
        <v>0</v>
      </c>
      <c r="Q126" s="391">
        <f t="shared" si="65"/>
        <v>0</v>
      </c>
      <c r="R126" s="336">
        <f t="shared" si="66"/>
        <v>0</v>
      </c>
    </row>
    <row r="127" spans="1:18" x14ac:dyDescent="0.3">
      <c r="A127" s="1073" t="s">
        <v>178</v>
      </c>
      <c r="B127" s="1075" t="s">
        <v>13</v>
      </c>
      <c r="C127" s="372" t="s">
        <v>25</v>
      </c>
      <c r="D127" s="373">
        <f t="shared" si="58"/>
        <v>0</v>
      </c>
      <c r="E127" s="374">
        <f t="shared" si="59"/>
        <v>0</v>
      </c>
      <c r="F127" s="375">
        <f t="shared" ref="F127:F156" si="69">I127+L127+O127+R127</f>
        <v>0</v>
      </c>
      <c r="G127" s="392">
        <f t="shared" ref="G127:H136" si="70">G6*G26</f>
        <v>0</v>
      </c>
      <c r="H127" s="393">
        <f t="shared" si="70"/>
        <v>0</v>
      </c>
      <c r="I127" s="314">
        <f>H127-G127</f>
        <v>0</v>
      </c>
      <c r="J127" s="393">
        <f t="shared" ref="J127:K136" si="71">J6*J26</f>
        <v>0</v>
      </c>
      <c r="K127" s="393">
        <f t="shared" si="71"/>
        <v>0</v>
      </c>
      <c r="L127" s="314">
        <f>K127-J127</f>
        <v>0</v>
      </c>
      <c r="M127" s="393">
        <f t="shared" ref="M127:N136" si="72">M6*M26</f>
        <v>0</v>
      </c>
      <c r="N127" s="393">
        <f t="shared" si="72"/>
        <v>0</v>
      </c>
      <c r="O127" s="314">
        <f>N127-M127</f>
        <v>0</v>
      </c>
      <c r="P127" s="393">
        <f t="shared" ref="P127:Q136" si="73">P6*P26</f>
        <v>0</v>
      </c>
      <c r="Q127" s="394">
        <f t="shared" si="73"/>
        <v>0</v>
      </c>
      <c r="R127" s="395">
        <f>Q127-P127</f>
        <v>0</v>
      </c>
    </row>
    <row r="128" spans="1:18" x14ac:dyDescent="0.3">
      <c r="A128" s="1073"/>
      <c r="B128" s="1075"/>
      <c r="C128" s="372" t="s">
        <v>26</v>
      </c>
      <c r="D128" s="373">
        <f t="shared" si="58"/>
        <v>0</v>
      </c>
      <c r="E128" s="374">
        <f t="shared" si="59"/>
        <v>0</v>
      </c>
      <c r="F128" s="375">
        <f t="shared" si="69"/>
        <v>0</v>
      </c>
      <c r="G128" s="382">
        <f t="shared" si="70"/>
        <v>0</v>
      </c>
      <c r="H128" s="383">
        <f t="shared" si="70"/>
        <v>0</v>
      </c>
      <c r="I128" s="325">
        <f t="shared" ref="I128:I136" si="74">H128-G128</f>
        <v>0</v>
      </c>
      <c r="J128" s="383">
        <f t="shared" si="71"/>
        <v>0</v>
      </c>
      <c r="K128" s="383">
        <f t="shared" si="71"/>
        <v>0</v>
      </c>
      <c r="L128" s="325">
        <f t="shared" ref="L128:L136" si="75">K128-J128</f>
        <v>0</v>
      </c>
      <c r="M128" s="383">
        <f t="shared" si="72"/>
        <v>0</v>
      </c>
      <c r="N128" s="383">
        <f t="shared" si="72"/>
        <v>0</v>
      </c>
      <c r="O128" s="325">
        <f t="shared" ref="O128:O136" si="76">N128-M128</f>
        <v>0</v>
      </c>
      <c r="P128" s="383">
        <f t="shared" si="73"/>
        <v>0</v>
      </c>
      <c r="Q128" s="384">
        <f t="shared" si="73"/>
        <v>0</v>
      </c>
      <c r="R128" s="327">
        <f t="shared" ref="R128:R136" si="77">Q128-P128</f>
        <v>0</v>
      </c>
    </row>
    <row r="129" spans="1:18" x14ac:dyDescent="0.3">
      <c r="A129" s="1073"/>
      <c r="B129" s="1075"/>
      <c r="C129" s="372" t="s">
        <v>27</v>
      </c>
      <c r="D129" s="373">
        <f t="shared" si="58"/>
        <v>0</v>
      </c>
      <c r="E129" s="374">
        <f t="shared" si="59"/>
        <v>0</v>
      </c>
      <c r="F129" s="375">
        <f t="shared" si="69"/>
        <v>0</v>
      </c>
      <c r="G129" s="382">
        <f t="shared" si="70"/>
        <v>0</v>
      </c>
      <c r="H129" s="383">
        <f t="shared" si="70"/>
        <v>0</v>
      </c>
      <c r="I129" s="325">
        <f t="shared" si="74"/>
        <v>0</v>
      </c>
      <c r="J129" s="383">
        <f t="shared" si="71"/>
        <v>0</v>
      </c>
      <c r="K129" s="383">
        <f t="shared" si="71"/>
        <v>0</v>
      </c>
      <c r="L129" s="325">
        <f t="shared" si="75"/>
        <v>0</v>
      </c>
      <c r="M129" s="383">
        <f t="shared" si="72"/>
        <v>0</v>
      </c>
      <c r="N129" s="383">
        <f t="shared" si="72"/>
        <v>0</v>
      </c>
      <c r="O129" s="325">
        <f t="shared" si="76"/>
        <v>0</v>
      </c>
      <c r="P129" s="383">
        <f t="shared" si="73"/>
        <v>0</v>
      </c>
      <c r="Q129" s="384">
        <f t="shared" si="73"/>
        <v>0</v>
      </c>
      <c r="R129" s="327">
        <f t="shared" si="77"/>
        <v>0</v>
      </c>
    </row>
    <row r="130" spans="1:18" x14ac:dyDescent="0.3">
      <c r="A130" s="1073"/>
      <c r="B130" s="1075"/>
      <c r="C130" s="372" t="s">
        <v>28</v>
      </c>
      <c r="D130" s="373">
        <f t="shared" si="58"/>
        <v>0</v>
      </c>
      <c r="E130" s="374">
        <f t="shared" si="59"/>
        <v>0</v>
      </c>
      <c r="F130" s="375">
        <f t="shared" si="69"/>
        <v>0</v>
      </c>
      <c r="G130" s="382">
        <f t="shared" si="70"/>
        <v>0</v>
      </c>
      <c r="H130" s="383">
        <f t="shared" si="70"/>
        <v>0</v>
      </c>
      <c r="I130" s="325">
        <f t="shared" si="74"/>
        <v>0</v>
      </c>
      <c r="J130" s="383">
        <f t="shared" si="71"/>
        <v>0</v>
      </c>
      <c r="K130" s="383">
        <f t="shared" si="71"/>
        <v>0</v>
      </c>
      <c r="L130" s="325">
        <f t="shared" si="75"/>
        <v>0</v>
      </c>
      <c r="M130" s="383">
        <f t="shared" si="72"/>
        <v>0</v>
      </c>
      <c r="N130" s="383">
        <f t="shared" si="72"/>
        <v>0</v>
      </c>
      <c r="O130" s="325">
        <f t="shared" si="76"/>
        <v>0</v>
      </c>
      <c r="P130" s="383">
        <f t="shared" si="73"/>
        <v>0</v>
      </c>
      <c r="Q130" s="384">
        <f t="shared" si="73"/>
        <v>0</v>
      </c>
      <c r="R130" s="327">
        <f t="shared" si="77"/>
        <v>0</v>
      </c>
    </row>
    <row r="131" spans="1:18" x14ac:dyDescent="0.3">
      <c r="A131" s="1073"/>
      <c r="B131" s="1075"/>
      <c r="C131" s="372" t="s">
        <v>29</v>
      </c>
      <c r="D131" s="373">
        <f t="shared" si="58"/>
        <v>0</v>
      </c>
      <c r="E131" s="374">
        <f t="shared" si="59"/>
        <v>0</v>
      </c>
      <c r="F131" s="375">
        <f t="shared" si="69"/>
        <v>0</v>
      </c>
      <c r="G131" s="382">
        <f t="shared" si="70"/>
        <v>0</v>
      </c>
      <c r="H131" s="383">
        <f t="shared" si="70"/>
        <v>0</v>
      </c>
      <c r="I131" s="325">
        <f t="shared" si="74"/>
        <v>0</v>
      </c>
      <c r="J131" s="383">
        <f t="shared" si="71"/>
        <v>0</v>
      </c>
      <c r="K131" s="383">
        <f t="shared" si="71"/>
        <v>0</v>
      </c>
      <c r="L131" s="325">
        <f t="shared" si="75"/>
        <v>0</v>
      </c>
      <c r="M131" s="383">
        <f t="shared" si="72"/>
        <v>0</v>
      </c>
      <c r="N131" s="383">
        <f t="shared" si="72"/>
        <v>0</v>
      </c>
      <c r="O131" s="325">
        <f t="shared" si="76"/>
        <v>0</v>
      </c>
      <c r="P131" s="383">
        <f t="shared" si="73"/>
        <v>0</v>
      </c>
      <c r="Q131" s="384">
        <f t="shared" si="73"/>
        <v>0</v>
      </c>
      <c r="R131" s="327">
        <f t="shared" si="77"/>
        <v>0</v>
      </c>
    </row>
    <row r="132" spans="1:18" x14ac:dyDescent="0.3">
      <c r="A132" s="1073"/>
      <c r="B132" s="1075"/>
      <c r="C132" s="372" t="s">
        <v>30</v>
      </c>
      <c r="D132" s="373">
        <f t="shared" si="58"/>
        <v>0</v>
      </c>
      <c r="E132" s="374">
        <f t="shared" si="59"/>
        <v>0</v>
      </c>
      <c r="F132" s="375">
        <f t="shared" si="69"/>
        <v>0</v>
      </c>
      <c r="G132" s="382">
        <f t="shared" si="70"/>
        <v>0</v>
      </c>
      <c r="H132" s="383">
        <f t="shared" si="70"/>
        <v>0</v>
      </c>
      <c r="I132" s="325">
        <f t="shared" si="74"/>
        <v>0</v>
      </c>
      <c r="J132" s="383">
        <f t="shared" si="71"/>
        <v>0</v>
      </c>
      <c r="K132" s="383">
        <f t="shared" si="71"/>
        <v>0</v>
      </c>
      <c r="L132" s="325">
        <f t="shared" si="75"/>
        <v>0</v>
      </c>
      <c r="M132" s="383">
        <f t="shared" si="72"/>
        <v>0</v>
      </c>
      <c r="N132" s="383">
        <f t="shared" si="72"/>
        <v>0</v>
      </c>
      <c r="O132" s="325">
        <f t="shared" si="76"/>
        <v>0</v>
      </c>
      <c r="P132" s="383">
        <f t="shared" si="73"/>
        <v>0</v>
      </c>
      <c r="Q132" s="384">
        <f t="shared" si="73"/>
        <v>0</v>
      </c>
      <c r="R132" s="327">
        <f t="shared" si="77"/>
        <v>0</v>
      </c>
    </row>
    <row r="133" spans="1:18" x14ac:dyDescent="0.3">
      <c r="A133" s="1073"/>
      <c r="B133" s="1075"/>
      <c r="C133" s="372" t="s">
        <v>31</v>
      </c>
      <c r="D133" s="373">
        <f t="shared" si="58"/>
        <v>0</v>
      </c>
      <c r="E133" s="374">
        <f t="shared" si="59"/>
        <v>0</v>
      </c>
      <c r="F133" s="375">
        <f t="shared" si="69"/>
        <v>0</v>
      </c>
      <c r="G133" s="382">
        <f t="shared" si="70"/>
        <v>0</v>
      </c>
      <c r="H133" s="383">
        <f t="shared" si="70"/>
        <v>0</v>
      </c>
      <c r="I133" s="325">
        <f t="shared" si="74"/>
        <v>0</v>
      </c>
      <c r="J133" s="383">
        <f t="shared" si="71"/>
        <v>0</v>
      </c>
      <c r="K133" s="383">
        <f t="shared" si="71"/>
        <v>0</v>
      </c>
      <c r="L133" s="325">
        <f t="shared" si="75"/>
        <v>0</v>
      </c>
      <c r="M133" s="383">
        <f t="shared" si="72"/>
        <v>0</v>
      </c>
      <c r="N133" s="383">
        <f t="shared" si="72"/>
        <v>0</v>
      </c>
      <c r="O133" s="325">
        <f t="shared" si="76"/>
        <v>0</v>
      </c>
      <c r="P133" s="383">
        <f t="shared" si="73"/>
        <v>0</v>
      </c>
      <c r="Q133" s="384">
        <f t="shared" si="73"/>
        <v>0</v>
      </c>
      <c r="R133" s="327">
        <f t="shared" si="77"/>
        <v>0</v>
      </c>
    </row>
    <row r="134" spans="1:18" x14ac:dyDescent="0.3">
      <c r="A134" s="1073"/>
      <c r="B134" s="1075"/>
      <c r="C134" s="372" t="s">
        <v>32</v>
      </c>
      <c r="D134" s="373">
        <f t="shared" si="58"/>
        <v>0</v>
      </c>
      <c r="E134" s="374">
        <f t="shared" si="59"/>
        <v>0</v>
      </c>
      <c r="F134" s="375">
        <f t="shared" si="69"/>
        <v>0</v>
      </c>
      <c r="G134" s="382">
        <f t="shared" si="70"/>
        <v>0</v>
      </c>
      <c r="H134" s="383">
        <f t="shared" si="70"/>
        <v>0</v>
      </c>
      <c r="I134" s="325">
        <f t="shared" si="74"/>
        <v>0</v>
      </c>
      <c r="J134" s="383">
        <f t="shared" si="71"/>
        <v>0</v>
      </c>
      <c r="K134" s="383">
        <f t="shared" si="71"/>
        <v>0</v>
      </c>
      <c r="L134" s="325">
        <f t="shared" si="75"/>
        <v>0</v>
      </c>
      <c r="M134" s="383">
        <f t="shared" si="72"/>
        <v>0</v>
      </c>
      <c r="N134" s="383">
        <f t="shared" si="72"/>
        <v>0</v>
      </c>
      <c r="O134" s="325">
        <f t="shared" si="76"/>
        <v>0</v>
      </c>
      <c r="P134" s="383">
        <f t="shared" si="73"/>
        <v>0</v>
      </c>
      <c r="Q134" s="384">
        <f t="shared" si="73"/>
        <v>0</v>
      </c>
      <c r="R134" s="327">
        <f t="shared" si="77"/>
        <v>0</v>
      </c>
    </row>
    <row r="135" spans="1:18" x14ac:dyDescent="0.3">
      <c r="A135" s="1073"/>
      <c r="B135" s="1075"/>
      <c r="C135" s="372" t="s">
        <v>33</v>
      </c>
      <c r="D135" s="373">
        <f t="shared" si="58"/>
        <v>0</v>
      </c>
      <c r="E135" s="374">
        <f t="shared" si="59"/>
        <v>0</v>
      </c>
      <c r="F135" s="375">
        <f t="shared" si="69"/>
        <v>0</v>
      </c>
      <c r="G135" s="382">
        <f t="shared" si="70"/>
        <v>0</v>
      </c>
      <c r="H135" s="383">
        <f t="shared" si="70"/>
        <v>0</v>
      </c>
      <c r="I135" s="325">
        <f t="shared" si="74"/>
        <v>0</v>
      </c>
      <c r="J135" s="383">
        <f t="shared" si="71"/>
        <v>0</v>
      </c>
      <c r="K135" s="383">
        <f t="shared" si="71"/>
        <v>0</v>
      </c>
      <c r="L135" s="325">
        <f t="shared" si="75"/>
        <v>0</v>
      </c>
      <c r="M135" s="383">
        <f t="shared" si="72"/>
        <v>0</v>
      </c>
      <c r="N135" s="383">
        <f t="shared" si="72"/>
        <v>0</v>
      </c>
      <c r="O135" s="325">
        <f t="shared" si="76"/>
        <v>0</v>
      </c>
      <c r="P135" s="383">
        <f t="shared" si="73"/>
        <v>0</v>
      </c>
      <c r="Q135" s="384">
        <f t="shared" si="73"/>
        <v>0</v>
      </c>
      <c r="R135" s="327">
        <f t="shared" si="77"/>
        <v>0</v>
      </c>
    </row>
    <row r="136" spans="1:18" ht="15" thickBot="1" x14ac:dyDescent="0.35">
      <c r="A136" s="1074"/>
      <c r="B136" s="1076"/>
      <c r="C136" s="385" t="s">
        <v>34</v>
      </c>
      <c r="D136" s="386">
        <f t="shared" si="58"/>
        <v>0</v>
      </c>
      <c r="E136" s="387">
        <f t="shared" si="59"/>
        <v>0</v>
      </c>
      <c r="F136" s="388">
        <f t="shared" si="69"/>
        <v>0</v>
      </c>
      <c r="G136" s="389">
        <f t="shared" si="70"/>
        <v>0</v>
      </c>
      <c r="H136" s="390">
        <f t="shared" si="70"/>
        <v>0</v>
      </c>
      <c r="I136" s="334">
        <f t="shared" si="74"/>
        <v>0</v>
      </c>
      <c r="J136" s="390">
        <f t="shared" si="71"/>
        <v>0</v>
      </c>
      <c r="K136" s="390">
        <f t="shared" si="71"/>
        <v>0</v>
      </c>
      <c r="L136" s="334">
        <f t="shared" si="75"/>
        <v>0</v>
      </c>
      <c r="M136" s="390">
        <f t="shared" si="72"/>
        <v>0</v>
      </c>
      <c r="N136" s="390">
        <f t="shared" si="72"/>
        <v>0</v>
      </c>
      <c r="O136" s="334">
        <f t="shared" si="76"/>
        <v>0</v>
      </c>
      <c r="P136" s="390">
        <f t="shared" si="73"/>
        <v>0</v>
      </c>
      <c r="Q136" s="391">
        <f t="shared" si="73"/>
        <v>0</v>
      </c>
      <c r="R136" s="336">
        <f t="shared" si="77"/>
        <v>0</v>
      </c>
    </row>
    <row r="137" spans="1:18" x14ac:dyDescent="0.3">
      <c r="A137" s="1073" t="s">
        <v>585</v>
      </c>
      <c r="B137" s="1075" t="s">
        <v>13</v>
      </c>
      <c r="C137" s="372" t="s">
        <v>25</v>
      </c>
      <c r="D137" s="373">
        <f t="shared" si="58"/>
        <v>1387880.88</v>
      </c>
      <c r="E137" s="374">
        <f t="shared" si="59"/>
        <v>1387880.88</v>
      </c>
      <c r="F137" s="375">
        <f t="shared" si="69"/>
        <v>0</v>
      </c>
      <c r="G137" s="392">
        <f>G6*G56</f>
        <v>1387880.88</v>
      </c>
      <c r="H137" s="393">
        <f t="shared" ref="H137:H146" si="78">H6*H56</f>
        <v>1387880.88</v>
      </c>
      <c r="I137" s="314">
        <f>H137-G137</f>
        <v>0</v>
      </c>
      <c r="J137" s="393">
        <f>J6*J56</f>
        <v>0</v>
      </c>
      <c r="K137" s="393">
        <f t="shared" ref="K137:K146" si="79">K6*K56</f>
        <v>0</v>
      </c>
      <c r="L137" s="314">
        <f>K137-J137</f>
        <v>0</v>
      </c>
      <c r="M137" s="393">
        <f>M6*M56</f>
        <v>0</v>
      </c>
      <c r="N137" s="393">
        <f t="shared" ref="N137:N146" si="80">N6*N56</f>
        <v>0</v>
      </c>
      <c r="O137" s="314">
        <f>N137-M137</f>
        <v>0</v>
      </c>
      <c r="P137" s="393">
        <f>P6*P56</f>
        <v>0</v>
      </c>
      <c r="Q137" s="394">
        <f t="shared" ref="Q137:Q146" si="81">Q6*Q56</f>
        <v>0</v>
      </c>
      <c r="R137" s="395">
        <f>Q137-P137</f>
        <v>0</v>
      </c>
    </row>
    <row r="138" spans="1:18" x14ac:dyDescent="0.3">
      <c r="A138" s="1073"/>
      <c r="B138" s="1075"/>
      <c r="C138" s="372" t="s">
        <v>26</v>
      </c>
      <c r="D138" s="373">
        <f t="shared" si="58"/>
        <v>1387880.88</v>
      </c>
      <c r="E138" s="374">
        <f t="shared" si="59"/>
        <v>1740658.0321845517</v>
      </c>
      <c r="F138" s="375">
        <f t="shared" si="69"/>
        <v>352777.15218455181</v>
      </c>
      <c r="G138" s="382">
        <f t="shared" ref="G138:G146" si="82">G7*G57</f>
        <v>1387880.88</v>
      </c>
      <c r="H138" s="383">
        <f t="shared" si="78"/>
        <v>1740658.0321845517</v>
      </c>
      <c r="I138" s="325">
        <f t="shared" ref="I138:I146" si="83">H138-G138</f>
        <v>352777.15218455181</v>
      </c>
      <c r="J138" s="383">
        <f t="shared" ref="J138:J146" si="84">J7*J57</f>
        <v>0</v>
      </c>
      <c r="K138" s="383">
        <f t="shared" si="79"/>
        <v>0</v>
      </c>
      <c r="L138" s="325">
        <f t="shared" ref="L138:L146" si="85">K138-J138</f>
        <v>0</v>
      </c>
      <c r="M138" s="383">
        <f t="shared" ref="M138:M146" si="86">M7*M57</f>
        <v>0</v>
      </c>
      <c r="N138" s="383">
        <f t="shared" si="80"/>
        <v>0</v>
      </c>
      <c r="O138" s="325">
        <f t="shared" ref="O138:O146" si="87">N138-M138</f>
        <v>0</v>
      </c>
      <c r="P138" s="383">
        <f t="shared" ref="P138:P146" si="88">P7*P57</f>
        <v>0</v>
      </c>
      <c r="Q138" s="384">
        <f t="shared" si="81"/>
        <v>0</v>
      </c>
      <c r="R138" s="327">
        <f t="shared" ref="R138:R146" si="89">Q138-P138</f>
        <v>0</v>
      </c>
    </row>
    <row r="139" spans="1:18" x14ac:dyDescent="0.3">
      <c r="A139" s="1073"/>
      <c r="B139" s="1075"/>
      <c r="C139" s="372" t="s">
        <v>27</v>
      </c>
      <c r="D139" s="373">
        <f t="shared" si="58"/>
        <v>1387880.88</v>
      </c>
      <c r="E139" s="374">
        <f t="shared" si="59"/>
        <v>1740658.0321845517</v>
      </c>
      <c r="F139" s="375">
        <f t="shared" si="69"/>
        <v>352777.15218455181</v>
      </c>
      <c r="G139" s="382">
        <f t="shared" si="82"/>
        <v>1387880.88</v>
      </c>
      <c r="H139" s="383">
        <f t="shared" si="78"/>
        <v>1740658.0321845517</v>
      </c>
      <c r="I139" s="325">
        <f t="shared" si="83"/>
        <v>352777.15218455181</v>
      </c>
      <c r="J139" s="383">
        <f t="shared" si="84"/>
        <v>0</v>
      </c>
      <c r="K139" s="383">
        <f t="shared" si="79"/>
        <v>0</v>
      </c>
      <c r="L139" s="325">
        <f t="shared" si="85"/>
        <v>0</v>
      </c>
      <c r="M139" s="383">
        <f t="shared" si="86"/>
        <v>0</v>
      </c>
      <c r="N139" s="383">
        <f t="shared" si="80"/>
        <v>0</v>
      </c>
      <c r="O139" s="325">
        <f t="shared" si="87"/>
        <v>0</v>
      </c>
      <c r="P139" s="383">
        <f t="shared" si="88"/>
        <v>0</v>
      </c>
      <c r="Q139" s="384">
        <f t="shared" si="81"/>
        <v>0</v>
      </c>
      <c r="R139" s="327">
        <f t="shared" si="89"/>
        <v>0</v>
      </c>
    </row>
    <row r="140" spans="1:18" x14ac:dyDescent="0.3">
      <c r="A140" s="1073"/>
      <c r="B140" s="1075"/>
      <c r="C140" s="372" t="s">
        <v>28</v>
      </c>
      <c r="D140" s="373">
        <f t="shared" si="58"/>
        <v>1387880.88</v>
      </c>
      <c r="E140" s="374">
        <f t="shared" si="59"/>
        <v>1740658.0321845517</v>
      </c>
      <c r="F140" s="375">
        <f t="shared" si="69"/>
        <v>352777.15218455181</v>
      </c>
      <c r="G140" s="382">
        <f t="shared" si="82"/>
        <v>1387880.88</v>
      </c>
      <c r="H140" s="383">
        <f t="shared" si="78"/>
        <v>1740658.0321845517</v>
      </c>
      <c r="I140" s="325">
        <f t="shared" si="83"/>
        <v>352777.15218455181</v>
      </c>
      <c r="J140" s="383">
        <f t="shared" si="84"/>
        <v>0</v>
      </c>
      <c r="K140" s="383">
        <f t="shared" si="79"/>
        <v>0</v>
      </c>
      <c r="L140" s="325">
        <f t="shared" si="85"/>
        <v>0</v>
      </c>
      <c r="M140" s="383">
        <f t="shared" si="86"/>
        <v>0</v>
      </c>
      <c r="N140" s="383">
        <f t="shared" si="80"/>
        <v>0</v>
      </c>
      <c r="O140" s="325">
        <f t="shared" si="87"/>
        <v>0</v>
      </c>
      <c r="P140" s="383">
        <f t="shared" si="88"/>
        <v>0</v>
      </c>
      <c r="Q140" s="384">
        <f t="shared" si="81"/>
        <v>0</v>
      </c>
      <c r="R140" s="327">
        <f t="shared" si="89"/>
        <v>0</v>
      </c>
    </row>
    <row r="141" spans="1:18" x14ac:dyDescent="0.3">
      <c r="A141" s="1073"/>
      <c r="B141" s="1075"/>
      <c r="C141" s="372" t="s">
        <v>29</v>
      </c>
      <c r="D141" s="373">
        <f t="shared" si="58"/>
        <v>1387880.88</v>
      </c>
      <c r="E141" s="374">
        <f t="shared" si="59"/>
        <v>1740658.0321845517</v>
      </c>
      <c r="F141" s="375">
        <f t="shared" si="69"/>
        <v>352777.15218455181</v>
      </c>
      <c r="G141" s="382">
        <f t="shared" si="82"/>
        <v>1387880.88</v>
      </c>
      <c r="H141" s="383">
        <f t="shared" si="78"/>
        <v>1740658.0321845517</v>
      </c>
      <c r="I141" s="325">
        <f t="shared" si="83"/>
        <v>352777.15218455181</v>
      </c>
      <c r="J141" s="383">
        <f t="shared" si="84"/>
        <v>0</v>
      </c>
      <c r="K141" s="383">
        <f t="shared" si="79"/>
        <v>0</v>
      </c>
      <c r="L141" s="325">
        <f t="shared" si="85"/>
        <v>0</v>
      </c>
      <c r="M141" s="383">
        <f t="shared" si="86"/>
        <v>0</v>
      </c>
      <c r="N141" s="383">
        <f t="shared" si="80"/>
        <v>0</v>
      </c>
      <c r="O141" s="325">
        <f t="shared" si="87"/>
        <v>0</v>
      </c>
      <c r="P141" s="383">
        <f t="shared" si="88"/>
        <v>0</v>
      </c>
      <c r="Q141" s="384">
        <f t="shared" si="81"/>
        <v>0</v>
      </c>
      <c r="R141" s="327">
        <f t="shared" si="89"/>
        <v>0</v>
      </c>
    </row>
    <row r="142" spans="1:18" x14ac:dyDescent="0.3">
      <c r="A142" s="1073"/>
      <c r="B142" s="1075"/>
      <c r="C142" s="372" t="s">
        <v>30</v>
      </c>
      <c r="D142" s="373">
        <f t="shared" si="58"/>
        <v>1387880.88</v>
      </c>
      <c r="E142" s="374">
        <f t="shared" si="59"/>
        <v>1740658.0321845517</v>
      </c>
      <c r="F142" s="375">
        <f t="shared" si="69"/>
        <v>352777.15218455181</v>
      </c>
      <c r="G142" s="382">
        <f t="shared" si="82"/>
        <v>1387880.88</v>
      </c>
      <c r="H142" s="383">
        <f t="shared" si="78"/>
        <v>1740658.0321845517</v>
      </c>
      <c r="I142" s="325">
        <f t="shared" si="83"/>
        <v>352777.15218455181</v>
      </c>
      <c r="J142" s="383">
        <f t="shared" si="84"/>
        <v>0</v>
      </c>
      <c r="K142" s="383">
        <f t="shared" si="79"/>
        <v>0</v>
      </c>
      <c r="L142" s="325">
        <f t="shared" si="85"/>
        <v>0</v>
      </c>
      <c r="M142" s="383">
        <f t="shared" si="86"/>
        <v>0</v>
      </c>
      <c r="N142" s="383">
        <f t="shared" si="80"/>
        <v>0</v>
      </c>
      <c r="O142" s="325">
        <f t="shared" si="87"/>
        <v>0</v>
      </c>
      <c r="P142" s="383">
        <f t="shared" si="88"/>
        <v>0</v>
      </c>
      <c r="Q142" s="384">
        <f t="shared" si="81"/>
        <v>0</v>
      </c>
      <c r="R142" s="327">
        <f t="shared" si="89"/>
        <v>0</v>
      </c>
    </row>
    <row r="143" spans="1:18" x14ac:dyDescent="0.3">
      <c r="A143" s="1073"/>
      <c r="B143" s="1075"/>
      <c r="C143" s="372" t="s">
        <v>31</v>
      </c>
      <c r="D143" s="373">
        <f t="shared" si="58"/>
        <v>1387880.88</v>
      </c>
      <c r="E143" s="374">
        <f t="shared" si="59"/>
        <v>1740658.0321845517</v>
      </c>
      <c r="F143" s="375">
        <f t="shared" si="69"/>
        <v>352777.15218455181</v>
      </c>
      <c r="G143" s="382">
        <f t="shared" si="82"/>
        <v>1387880.88</v>
      </c>
      <c r="H143" s="383">
        <f t="shared" si="78"/>
        <v>1740658.0321845517</v>
      </c>
      <c r="I143" s="325">
        <f t="shared" si="83"/>
        <v>352777.15218455181</v>
      </c>
      <c r="J143" s="383">
        <f t="shared" si="84"/>
        <v>0</v>
      </c>
      <c r="K143" s="383">
        <f t="shared" si="79"/>
        <v>0</v>
      </c>
      <c r="L143" s="325">
        <f t="shared" si="85"/>
        <v>0</v>
      </c>
      <c r="M143" s="383">
        <f t="shared" si="86"/>
        <v>0</v>
      </c>
      <c r="N143" s="383">
        <f t="shared" si="80"/>
        <v>0</v>
      </c>
      <c r="O143" s="325">
        <f t="shared" si="87"/>
        <v>0</v>
      </c>
      <c r="P143" s="383">
        <f t="shared" si="88"/>
        <v>0</v>
      </c>
      <c r="Q143" s="384">
        <f t="shared" si="81"/>
        <v>0</v>
      </c>
      <c r="R143" s="327">
        <f t="shared" si="89"/>
        <v>0</v>
      </c>
    </row>
    <row r="144" spans="1:18" x14ac:dyDescent="0.3">
      <c r="A144" s="1073"/>
      <c r="B144" s="1075"/>
      <c r="C144" s="372" t="s">
        <v>32</v>
      </c>
      <c r="D144" s="373">
        <f t="shared" si="58"/>
        <v>1387880.88</v>
      </c>
      <c r="E144" s="374">
        <f t="shared" si="59"/>
        <v>1740658.0321845517</v>
      </c>
      <c r="F144" s="375">
        <f t="shared" si="69"/>
        <v>352777.15218455181</v>
      </c>
      <c r="G144" s="382">
        <f t="shared" si="82"/>
        <v>1387880.88</v>
      </c>
      <c r="H144" s="383">
        <f t="shared" si="78"/>
        <v>1740658.0321845517</v>
      </c>
      <c r="I144" s="325">
        <f t="shared" si="83"/>
        <v>352777.15218455181</v>
      </c>
      <c r="J144" s="383">
        <f t="shared" si="84"/>
        <v>0</v>
      </c>
      <c r="K144" s="383">
        <f t="shared" si="79"/>
        <v>0</v>
      </c>
      <c r="L144" s="325">
        <f t="shared" si="85"/>
        <v>0</v>
      </c>
      <c r="M144" s="383">
        <f t="shared" si="86"/>
        <v>0</v>
      </c>
      <c r="N144" s="383">
        <f t="shared" si="80"/>
        <v>0</v>
      </c>
      <c r="O144" s="325">
        <f t="shared" si="87"/>
        <v>0</v>
      </c>
      <c r="P144" s="383">
        <f t="shared" si="88"/>
        <v>0</v>
      </c>
      <c r="Q144" s="384">
        <f t="shared" si="81"/>
        <v>0</v>
      </c>
      <c r="R144" s="327">
        <f t="shared" si="89"/>
        <v>0</v>
      </c>
    </row>
    <row r="145" spans="1:19" x14ac:dyDescent="0.3">
      <c r="A145" s="1073"/>
      <c r="B145" s="1075"/>
      <c r="C145" s="372" t="s">
        <v>33</v>
      </c>
      <c r="D145" s="373">
        <f t="shared" si="58"/>
        <v>1387880.88</v>
      </c>
      <c r="E145" s="374">
        <f t="shared" si="59"/>
        <v>1740658.0321845517</v>
      </c>
      <c r="F145" s="375">
        <f t="shared" si="69"/>
        <v>352777.15218455181</v>
      </c>
      <c r="G145" s="382">
        <f t="shared" si="82"/>
        <v>1387880.88</v>
      </c>
      <c r="H145" s="383">
        <f t="shared" si="78"/>
        <v>1740658.0321845517</v>
      </c>
      <c r="I145" s="325">
        <f t="shared" si="83"/>
        <v>352777.15218455181</v>
      </c>
      <c r="J145" s="383">
        <f t="shared" si="84"/>
        <v>0</v>
      </c>
      <c r="K145" s="383">
        <f t="shared" si="79"/>
        <v>0</v>
      </c>
      <c r="L145" s="325">
        <f t="shared" si="85"/>
        <v>0</v>
      </c>
      <c r="M145" s="383">
        <f t="shared" si="86"/>
        <v>0</v>
      </c>
      <c r="N145" s="383">
        <f t="shared" si="80"/>
        <v>0</v>
      </c>
      <c r="O145" s="325">
        <f t="shared" si="87"/>
        <v>0</v>
      </c>
      <c r="P145" s="383">
        <f t="shared" si="88"/>
        <v>0</v>
      </c>
      <c r="Q145" s="384">
        <f t="shared" si="81"/>
        <v>0</v>
      </c>
      <c r="R145" s="327">
        <f t="shared" si="89"/>
        <v>0</v>
      </c>
    </row>
    <row r="146" spans="1:19" ht="15" thickBot="1" x14ac:dyDescent="0.35">
      <c r="A146" s="1074"/>
      <c r="B146" s="1076"/>
      <c r="C146" s="385" t="s">
        <v>34</v>
      </c>
      <c r="D146" s="386">
        <f t="shared" si="58"/>
        <v>1387880.88</v>
      </c>
      <c r="E146" s="387">
        <f t="shared" si="59"/>
        <v>1740658.0321845517</v>
      </c>
      <c r="F146" s="388">
        <f t="shared" si="69"/>
        <v>352777.15218455181</v>
      </c>
      <c r="G146" s="389">
        <f t="shared" si="82"/>
        <v>1387880.88</v>
      </c>
      <c r="H146" s="390">
        <f t="shared" si="78"/>
        <v>1740658.0321845517</v>
      </c>
      <c r="I146" s="334">
        <f t="shared" si="83"/>
        <v>352777.15218455181</v>
      </c>
      <c r="J146" s="390">
        <f t="shared" si="84"/>
        <v>0</v>
      </c>
      <c r="K146" s="390">
        <f t="shared" si="79"/>
        <v>0</v>
      </c>
      <c r="L146" s="334">
        <f t="shared" si="85"/>
        <v>0</v>
      </c>
      <c r="M146" s="390">
        <f t="shared" si="86"/>
        <v>0</v>
      </c>
      <c r="N146" s="390">
        <f t="shared" si="80"/>
        <v>0</v>
      </c>
      <c r="O146" s="334">
        <f t="shared" si="87"/>
        <v>0</v>
      </c>
      <c r="P146" s="390">
        <f t="shared" si="88"/>
        <v>0</v>
      </c>
      <c r="Q146" s="391">
        <f t="shared" si="81"/>
        <v>0</v>
      </c>
      <c r="R146" s="336">
        <f t="shared" si="89"/>
        <v>0</v>
      </c>
    </row>
    <row r="147" spans="1:19" x14ac:dyDescent="0.3">
      <c r="A147" s="1073" t="s">
        <v>39</v>
      </c>
      <c r="B147" s="1075" t="s">
        <v>13</v>
      </c>
      <c r="C147" s="372" t="s">
        <v>25</v>
      </c>
      <c r="D147" s="373">
        <f t="shared" si="58"/>
        <v>0</v>
      </c>
      <c r="E147" s="374">
        <f t="shared" si="59"/>
        <v>0</v>
      </c>
      <c r="F147" s="375">
        <f t="shared" si="69"/>
        <v>0</v>
      </c>
      <c r="G147" s="392">
        <f t="shared" ref="G147:G156" si="90">G66</f>
        <v>0</v>
      </c>
      <c r="H147" s="393">
        <f t="shared" ref="H147:H156" si="91">H66*(1+$S$147)</f>
        <v>0</v>
      </c>
      <c r="I147" s="314">
        <f>H147-G147</f>
        <v>0</v>
      </c>
      <c r="J147" s="393">
        <f t="shared" ref="J147:J156" si="92">J66</f>
        <v>0</v>
      </c>
      <c r="K147" s="393">
        <f t="shared" ref="K147:K156" si="93">K66*(1+$S$147)</f>
        <v>0</v>
      </c>
      <c r="L147" s="314">
        <f>K147-J147</f>
        <v>0</v>
      </c>
      <c r="M147" s="393">
        <f t="shared" ref="M147:M156" si="94">M66</f>
        <v>0</v>
      </c>
      <c r="N147" s="393">
        <f t="shared" ref="N147:N156" si="95">N66*(1+$S$147)</f>
        <v>0</v>
      </c>
      <c r="O147" s="314">
        <f>N147-M147</f>
        <v>0</v>
      </c>
      <c r="P147" s="393">
        <f t="shared" ref="P147:P156" si="96">P66</f>
        <v>0</v>
      </c>
      <c r="Q147" s="394">
        <f t="shared" ref="Q147:Q156" si="97">Q66*(1+$S$147)</f>
        <v>0</v>
      </c>
      <c r="R147" s="395">
        <f>Q147-P147</f>
        <v>0</v>
      </c>
      <c r="S147" s="317">
        <f>'Analyza citlivosti - AgendovéIS'!H7</f>
        <v>0</v>
      </c>
    </row>
    <row r="148" spans="1:19" x14ac:dyDescent="0.3">
      <c r="A148" s="1073"/>
      <c r="B148" s="1075"/>
      <c r="C148" s="372" t="s">
        <v>26</v>
      </c>
      <c r="D148" s="373">
        <f t="shared" si="58"/>
        <v>0</v>
      </c>
      <c r="E148" s="374">
        <f t="shared" si="59"/>
        <v>0</v>
      </c>
      <c r="F148" s="375">
        <f t="shared" si="69"/>
        <v>0</v>
      </c>
      <c r="G148" s="382">
        <f t="shared" si="90"/>
        <v>0</v>
      </c>
      <c r="H148" s="383">
        <f t="shared" si="91"/>
        <v>0</v>
      </c>
      <c r="I148" s="325">
        <f t="shared" ref="I148:I156" si="98">H148-G148</f>
        <v>0</v>
      </c>
      <c r="J148" s="383">
        <f t="shared" si="92"/>
        <v>0</v>
      </c>
      <c r="K148" s="383">
        <f t="shared" si="93"/>
        <v>0</v>
      </c>
      <c r="L148" s="325">
        <f t="shared" ref="L148:L156" si="99">K148-J148</f>
        <v>0</v>
      </c>
      <c r="M148" s="383">
        <f t="shared" si="94"/>
        <v>0</v>
      </c>
      <c r="N148" s="383">
        <f t="shared" si="95"/>
        <v>0</v>
      </c>
      <c r="O148" s="325">
        <f t="shared" ref="O148:O156" si="100">N148-M148</f>
        <v>0</v>
      </c>
      <c r="P148" s="383">
        <f t="shared" si="96"/>
        <v>0</v>
      </c>
      <c r="Q148" s="384">
        <f t="shared" si="97"/>
        <v>0</v>
      </c>
      <c r="R148" s="327">
        <f t="shared" ref="R148:R156" si="101">Q148-P148</f>
        <v>0</v>
      </c>
    </row>
    <row r="149" spans="1:19" x14ac:dyDescent="0.3">
      <c r="A149" s="1073"/>
      <c r="B149" s="1075"/>
      <c r="C149" s="372" t="s">
        <v>27</v>
      </c>
      <c r="D149" s="373">
        <f t="shared" si="58"/>
        <v>0</v>
      </c>
      <c r="E149" s="374">
        <f t="shared" si="59"/>
        <v>0</v>
      </c>
      <c r="F149" s="375">
        <f t="shared" si="69"/>
        <v>0</v>
      </c>
      <c r="G149" s="382">
        <f t="shared" si="90"/>
        <v>0</v>
      </c>
      <c r="H149" s="383">
        <f t="shared" si="91"/>
        <v>0</v>
      </c>
      <c r="I149" s="325">
        <f t="shared" si="98"/>
        <v>0</v>
      </c>
      <c r="J149" s="383">
        <f t="shared" si="92"/>
        <v>0</v>
      </c>
      <c r="K149" s="383">
        <f t="shared" si="93"/>
        <v>0</v>
      </c>
      <c r="L149" s="325">
        <f t="shared" si="99"/>
        <v>0</v>
      </c>
      <c r="M149" s="383">
        <f t="shared" si="94"/>
        <v>0</v>
      </c>
      <c r="N149" s="383">
        <f t="shared" si="95"/>
        <v>0</v>
      </c>
      <c r="O149" s="325">
        <f t="shared" si="100"/>
        <v>0</v>
      </c>
      <c r="P149" s="383">
        <f t="shared" si="96"/>
        <v>0</v>
      </c>
      <c r="Q149" s="384">
        <f t="shared" si="97"/>
        <v>0</v>
      </c>
      <c r="R149" s="327">
        <f t="shared" si="101"/>
        <v>0</v>
      </c>
    </row>
    <row r="150" spans="1:19" x14ac:dyDescent="0.3">
      <c r="A150" s="1073"/>
      <c r="B150" s="1075"/>
      <c r="C150" s="372" t="s">
        <v>28</v>
      </c>
      <c r="D150" s="373">
        <f t="shared" si="58"/>
        <v>0</v>
      </c>
      <c r="E150" s="374">
        <f t="shared" si="59"/>
        <v>0</v>
      </c>
      <c r="F150" s="375">
        <f t="shared" si="69"/>
        <v>0</v>
      </c>
      <c r="G150" s="382">
        <f t="shared" si="90"/>
        <v>0</v>
      </c>
      <c r="H150" s="383">
        <f t="shared" si="91"/>
        <v>0</v>
      </c>
      <c r="I150" s="325">
        <f t="shared" si="98"/>
        <v>0</v>
      </c>
      <c r="J150" s="383">
        <f t="shared" si="92"/>
        <v>0</v>
      </c>
      <c r="K150" s="383">
        <f t="shared" si="93"/>
        <v>0</v>
      </c>
      <c r="L150" s="325">
        <f t="shared" si="99"/>
        <v>0</v>
      </c>
      <c r="M150" s="383">
        <f t="shared" si="94"/>
        <v>0</v>
      </c>
      <c r="N150" s="383">
        <f t="shared" si="95"/>
        <v>0</v>
      </c>
      <c r="O150" s="325">
        <f t="shared" si="100"/>
        <v>0</v>
      </c>
      <c r="P150" s="383">
        <f t="shared" si="96"/>
        <v>0</v>
      </c>
      <c r="Q150" s="384">
        <f t="shared" si="97"/>
        <v>0</v>
      </c>
      <c r="R150" s="327">
        <f t="shared" si="101"/>
        <v>0</v>
      </c>
    </row>
    <row r="151" spans="1:19" x14ac:dyDescent="0.3">
      <c r="A151" s="1073"/>
      <c r="B151" s="1075"/>
      <c r="C151" s="372" t="s">
        <v>29</v>
      </c>
      <c r="D151" s="373">
        <f t="shared" si="58"/>
        <v>0</v>
      </c>
      <c r="E151" s="374">
        <f t="shared" si="59"/>
        <v>0</v>
      </c>
      <c r="F151" s="375">
        <f t="shared" si="69"/>
        <v>0</v>
      </c>
      <c r="G151" s="382">
        <f t="shared" si="90"/>
        <v>0</v>
      </c>
      <c r="H151" s="383">
        <f t="shared" si="91"/>
        <v>0</v>
      </c>
      <c r="I151" s="325">
        <f t="shared" si="98"/>
        <v>0</v>
      </c>
      <c r="J151" s="383">
        <f t="shared" si="92"/>
        <v>0</v>
      </c>
      <c r="K151" s="383">
        <f t="shared" si="93"/>
        <v>0</v>
      </c>
      <c r="L151" s="325">
        <f t="shared" si="99"/>
        <v>0</v>
      </c>
      <c r="M151" s="383">
        <f t="shared" si="94"/>
        <v>0</v>
      </c>
      <c r="N151" s="383">
        <f t="shared" si="95"/>
        <v>0</v>
      </c>
      <c r="O151" s="325">
        <f t="shared" si="100"/>
        <v>0</v>
      </c>
      <c r="P151" s="383">
        <f t="shared" si="96"/>
        <v>0</v>
      </c>
      <c r="Q151" s="384">
        <f t="shared" si="97"/>
        <v>0</v>
      </c>
      <c r="R151" s="327">
        <f t="shared" si="101"/>
        <v>0</v>
      </c>
    </row>
    <row r="152" spans="1:19" x14ac:dyDescent="0.3">
      <c r="A152" s="1073"/>
      <c r="B152" s="1075"/>
      <c r="C152" s="372" t="s">
        <v>30</v>
      </c>
      <c r="D152" s="373">
        <f t="shared" si="58"/>
        <v>0</v>
      </c>
      <c r="E152" s="374">
        <f t="shared" si="59"/>
        <v>0</v>
      </c>
      <c r="F152" s="375">
        <f t="shared" si="69"/>
        <v>0</v>
      </c>
      <c r="G152" s="382">
        <f t="shared" si="90"/>
        <v>0</v>
      </c>
      <c r="H152" s="383">
        <f t="shared" si="91"/>
        <v>0</v>
      </c>
      <c r="I152" s="325">
        <f t="shared" si="98"/>
        <v>0</v>
      </c>
      <c r="J152" s="383">
        <f t="shared" si="92"/>
        <v>0</v>
      </c>
      <c r="K152" s="383">
        <f t="shared" si="93"/>
        <v>0</v>
      </c>
      <c r="L152" s="325">
        <f t="shared" si="99"/>
        <v>0</v>
      </c>
      <c r="M152" s="383">
        <f t="shared" si="94"/>
        <v>0</v>
      </c>
      <c r="N152" s="383">
        <f t="shared" si="95"/>
        <v>0</v>
      </c>
      <c r="O152" s="325">
        <f t="shared" si="100"/>
        <v>0</v>
      </c>
      <c r="P152" s="383">
        <f t="shared" si="96"/>
        <v>0</v>
      </c>
      <c r="Q152" s="384">
        <f t="shared" si="97"/>
        <v>0</v>
      </c>
      <c r="R152" s="327">
        <f t="shared" si="101"/>
        <v>0</v>
      </c>
    </row>
    <row r="153" spans="1:19" x14ac:dyDescent="0.3">
      <c r="A153" s="1073"/>
      <c r="B153" s="1075"/>
      <c r="C153" s="372" t="s">
        <v>31</v>
      </c>
      <c r="D153" s="373">
        <f t="shared" si="58"/>
        <v>0</v>
      </c>
      <c r="E153" s="374">
        <f t="shared" si="59"/>
        <v>0</v>
      </c>
      <c r="F153" s="375">
        <f t="shared" si="69"/>
        <v>0</v>
      </c>
      <c r="G153" s="382">
        <f t="shared" si="90"/>
        <v>0</v>
      </c>
      <c r="H153" s="383">
        <f t="shared" si="91"/>
        <v>0</v>
      </c>
      <c r="I153" s="325">
        <f t="shared" si="98"/>
        <v>0</v>
      </c>
      <c r="J153" s="383">
        <f t="shared" si="92"/>
        <v>0</v>
      </c>
      <c r="K153" s="383">
        <f t="shared" si="93"/>
        <v>0</v>
      </c>
      <c r="L153" s="325">
        <f t="shared" si="99"/>
        <v>0</v>
      </c>
      <c r="M153" s="383">
        <f t="shared" si="94"/>
        <v>0</v>
      </c>
      <c r="N153" s="383">
        <f t="shared" si="95"/>
        <v>0</v>
      </c>
      <c r="O153" s="325">
        <f t="shared" si="100"/>
        <v>0</v>
      </c>
      <c r="P153" s="383">
        <f t="shared" si="96"/>
        <v>0</v>
      </c>
      <c r="Q153" s="384">
        <f t="shared" si="97"/>
        <v>0</v>
      </c>
      <c r="R153" s="327">
        <f t="shared" si="101"/>
        <v>0</v>
      </c>
    </row>
    <row r="154" spans="1:19" x14ac:dyDescent="0.3">
      <c r="A154" s="1073"/>
      <c r="B154" s="1075"/>
      <c r="C154" s="372" t="s">
        <v>32</v>
      </c>
      <c r="D154" s="373">
        <f t="shared" si="58"/>
        <v>0</v>
      </c>
      <c r="E154" s="374">
        <f t="shared" si="59"/>
        <v>0</v>
      </c>
      <c r="F154" s="375">
        <f t="shared" si="69"/>
        <v>0</v>
      </c>
      <c r="G154" s="382">
        <f t="shared" si="90"/>
        <v>0</v>
      </c>
      <c r="H154" s="383">
        <f t="shared" si="91"/>
        <v>0</v>
      </c>
      <c r="I154" s="325">
        <f t="shared" si="98"/>
        <v>0</v>
      </c>
      <c r="J154" s="383">
        <f t="shared" si="92"/>
        <v>0</v>
      </c>
      <c r="K154" s="383">
        <f t="shared" si="93"/>
        <v>0</v>
      </c>
      <c r="L154" s="325">
        <f t="shared" si="99"/>
        <v>0</v>
      </c>
      <c r="M154" s="383">
        <f t="shared" si="94"/>
        <v>0</v>
      </c>
      <c r="N154" s="383">
        <f t="shared" si="95"/>
        <v>0</v>
      </c>
      <c r="O154" s="325">
        <f t="shared" si="100"/>
        <v>0</v>
      </c>
      <c r="P154" s="383">
        <f t="shared" si="96"/>
        <v>0</v>
      </c>
      <c r="Q154" s="384">
        <f t="shared" si="97"/>
        <v>0</v>
      </c>
      <c r="R154" s="327">
        <f t="shared" si="101"/>
        <v>0</v>
      </c>
    </row>
    <row r="155" spans="1:19" x14ac:dyDescent="0.3">
      <c r="A155" s="1073"/>
      <c r="B155" s="1075"/>
      <c r="C155" s="372" t="s">
        <v>33</v>
      </c>
      <c r="D155" s="373">
        <f t="shared" si="58"/>
        <v>0</v>
      </c>
      <c r="E155" s="374">
        <f t="shared" si="59"/>
        <v>0</v>
      </c>
      <c r="F155" s="375">
        <f t="shared" si="69"/>
        <v>0</v>
      </c>
      <c r="G155" s="382">
        <f t="shared" si="90"/>
        <v>0</v>
      </c>
      <c r="H155" s="383">
        <f t="shared" si="91"/>
        <v>0</v>
      </c>
      <c r="I155" s="325">
        <f t="shared" si="98"/>
        <v>0</v>
      </c>
      <c r="J155" s="383">
        <f t="shared" si="92"/>
        <v>0</v>
      </c>
      <c r="K155" s="383">
        <f t="shared" si="93"/>
        <v>0</v>
      </c>
      <c r="L155" s="325">
        <f t="shared" si="99"/>
        <v>0</v>
      </c>
      <c r="M155" s="383">
        <f t="shared" si="94"/>
        <v>0</v>
      </c>
      <c r="N155" s="383">
        <f t="shared" si="95"/>
        <v>0</v>
      </c>
      <c r="O155" s="325">
        <f t="shared" si="100"/>
        <v>0</v>
      </c>
      <c r="P155" s="383">
        <f t="shared" si="96"/>
        <v>0</v>
      </c>
      <c r="Q155" s="384">
        <f t="shared" si="97"/>
        <v>0</v>
      </c>
      <c r="R155" s="327">
        <f t="shared" si="101"/>
        <v>0</v>
      </c>
    </row>
    <row r="156" spans="1:19" ht="15" thickBot="1" x14ac:dyDescent="0.35">
      <c r="A156" s="1074"/>
      <c r="B156" s="1076"/>
      <c r="C156" s="385" t="s">
        <v>34</v>
      </c>
      <c r="D156" s="386">
        <f t="shared" si="58"/>
        <v>0</v>
      </c>
      <c r="E156" s="387">
        <f t="shared" si="59"/>
        <v>0</v>
      </c>
      <c r="F156" s="388">
        <f t="shared" si="69"/>
        <v>0</v>
      </c>
      <c r="G156" s="389">
        <f t="shared" si="90"/>
        <v>0</v>
      </c>
      <c r="H156" s="390">
        <f t="shared" si="91"/>
        <v>0</v>
      </c>
      <c r="I156" s="334">
        <f t="shared" si="98"/>
        <v>0</v>
      </c>
      <c r="J156" s="390">
        <f t="shared" si="92"/>
        <v>0</v>
      </c>
      <c r="K156" s="390">
        <f t="shared" si="93"/>
        <v>0</v>
      </c>
      <c r="L156" s="334">
        <f t="shared" si="99"/>
        <v>0</v>
      </c>
      <c r="M156" s="390">
        <f t="shared" si="94"/>
        <v>0</v>
      </c>
      <c r="N156" s="390">
        <f t="shared" si="95"/>
        <v>0</v>
      </c>
      <c r="O156" s="334">
        <f t="shared" si="100"/>
        <v>0</v>
      </c>
      <c r="P156" s="390">
        <f t="shared" si="96"/>
        <v>0</v>
      </c>
      <c r="Q156" s="391">
        <f t="shared" si="97"/>
        <v>0</v>
      </c>
      <c r="R156" s="336">
        <f t="shared" si="101"/>
        <v>0</v>
      </c>
    </row>
  </sheetData>
  <sheetProtection insertColumns="0" deleteColumns="0"/>
  <mergeCells count="47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77:A86"/>
    <mergeCell ref="B77:B86"/>
    <mergeCell ref="A147:A156"/>
    <mergeCell ref="B147:B156"/>
    <mergeCell ref="A117:A126"/>
    <mergeCell ref="B117:B126"/>
    <mergeCell ref="A97:A106"/>
    <mergeCell ref="B97:B106"/>
    <mergeCell ref="A127:A136"/>
    <mergeCell ref="B127:B136"/>
    <mergeCell ref="A107:A116"/>
    <mergeCell ref="B107:B116"/>
    <mergeCell ref="A87:A96"/>
    <mergeCell ref="B87:B9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137:A146"/>
    <mergeCell ref="B137:B146"/>
    <mergeCell ref="A26:A35"/>
    <mergeCell ref="B26:B35"/>
    <mergeCell ref="A36:A45"/>
    <mergeCell ref="B36:B45"/>
    <mergeCell ref="A66:A75"/>
    <mergeCell ref="B66:B75"/>
    <mergeCell ref="A46:A55"/>
    <mergeCell ref="B46:B55"/>
    <mergeCell ref="A56:A65"/>
    <mergeCell ref="B56:B65"/>
  </mergeCells>
  <pageMargins left="0.7" right="0.7" top="0.75" bottom="0.75" header="0.3" footer="0.3"/>
  <pageSetup paperSize="9" scale="3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4"/>
  <sheetViews>
    <sheetView showGridLines="0" topLeftCell="A7" zoomScale="70" zoomScaleNormal="70" workbookViewId="0">
      <selection activeCell="C16" sqref="C16"/>
    </sheetView>
  </sheetViews>
  <sheetFormatPr defaultColWidth="8.88671875" defaultRowHeight="14.4" outlineLevelCol="1" x14ac:dyDescent="0.3"/>
  <cols>
    <col min="2" max="2" width="54.109375" customWidth="1"/>
    <col min="3" max="3" width="18.88671875" customWidth="1"/>
    <col min="4" max="13" width="16" customWidth="1" outlineLevel="1"/>
  </cols>
  <sheetData>
    <row r="1" spans="1:13" ht="21" x14ac:dyDescent="0.4">
      <c r="A1" s="101" t="s">
        <v>98</v>
      </c>
      <c r="B1" s="102"/>
      <c r="D1" s="90"/>
      <c r="E1" s="88"/>
      <c r="F1" s="88"/>
      <c r="G1" s="88"/>
      <c r="H1" s="88"/>
      <c r="I1" s="88"/>
      <c r="J1" s="88"/>
      <c r="K1" s="88"/>
      <c r="L1" s="88"/>
      <c r="M1" s="84"/>
    </row>
    <row r="2" spans="1:13" ht="15.6" x14ac:dyDescent="0.3">
      <c r="A2" s="103"/>
      <c r="B2" s="89"/>
      <c r="D2" s="86"/>
      <c r="E2" s="86"/>
      <c r="F2" s="86"/>
      <c r="G2" s="86"/>
      <c r="H2" s="86"/>
      <c r="I2" s="86"/>
      <c r="J2" s="86"/>
      <c r="K2" s="86"/>
      <c r="L2" s="86"/>
      <c r="M2" s="80"/>
    </row>
    <row r="3" spans="1:13" ht="15.6" x14ac:dyDescent="0.3">
      <c r="A3" s="192" t="s">
        <v>183</v>
      </c>
      <c r="B3" s="89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3"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5" thickBot="1" x14ac:dyDescent="0.35">
      <c r="A5" s="90"/>
      <c r="B5" s="91"/>
      <c r="C5" s="85"/>
      <c r="D5" s="1099" t="s">
        <v>99</v>
      </c>
      <c r="E5" s="1099"/>
      <c r="F5" s="1099"/>
      <c r="G5" s="1099"/>
      <c r="H5" s="1099"/>
      <c r="I5" s="1099"/>
      <c r="J5" s="1099"/>
      <c r="K5" s="1099"/>
      <c r="L5" s="1099"/>
      <c r="M5" s="1099"/>
    </row>
    <row r="6" spans="1:13" x14ac:dyDescent="0.3">
      <c r="A6" s="189"/>
      <c r="B6" s="186" t="s">
        <v>159</v>
      </c>
      <c r="C6" s="95" t="s">
        <v>103</v>
      </c>
      <c r="D6" s="109" t="s">
        <v>25</v>
      </c>
      <c r="E6" s="110" t="s">
        <v>26</v>
      </c>
      <c r="F6" s="110" t="s">
        <v>27</v>
      </c>
      <c r="G6" s="110" t="s">
        <v>28</v>
      </c>
      <c r="H6" s="110" t="s">
        <v>29</v>
      </c>
      <c r="I6" s="110" t="s">
        <v>30</v>
      </c>
      <c r="J6" s="110" t="s">
        <v>31</v>
      </c>
      <c r="K6" s="110" t="s">
        <v>32</v>
      </c>
      <c r="L6" s="110" t="s">
        <v>33</v>
      </c>
      <c r="M6" s="111" t="s">
        <v>34</v>
      </c>
    </row>
    <row r="7" spans="1:13" x14ac:dyDescent="0.3">
      <c r="A7" s="190"/>
      <c r="B7" s="187" t="s">
        <v>106</v>
      </c>
      <c r="C7" s="96">
        <f t="shared" ref="C7:C14" si="0">SUM(D7:M7)</f>
        <v>0</v>
      </c>
      <c r="D7" s="112">
        <f>'TCO TO BE- SW'!$F5+'TCO TO BE- SW'!$F15</f>
        <v>0</v>
      </c>
      <c r="E7" s="93">
        <f>'TCO TO BE- SW'!$F6+'TCO TO BE- SW'!$F16</f>
        <v>0</v>
      </c>
      <c r="F7" s="93">
        <f>'TCO TO BE- SW'!$F7+'TCO TO BE- SW'!$F17</f>
        <v>0</v>
      </c>
      <c r="G7" s="93">
        <f>'TCO TO BE- SW'!$F8+'TCO TO BE- SW'!$F18</f>
        <v>0</v>
      </c>
      <c r="H7" s="93">
        <f>'TCO TO BE- SW'!$F9+'TCO TO BE- SW'!$F19</f>
        <v>0</v>
      </c>
      <c r="I7" s="93">
        <f>'TCO TO BE- SW'!$F10+'TCO TO BE- SW'!$F20</f>
        <v>0</v>
      </c>
      <c r="J7" s="93">
        <f>'TCO TO BE- SW'!$F11+'TCO TO BE- SW'!$F21</f>
        <v>0</v>
      </c>
      <c r="K7" s="93">
        <f>'TCO TO BE- SW'!$F12+'TCO TO BE- SW'!$F22</f>
        <v>0</v>
      </c>
      <c r="L7" s="93">
        <f>'TCO TO BE- SW'!$F13+'TCO TO BE- SW'!$F23</f>
        <v>0</v>
      </c>
      <c r="M7" s="113">
        <f>'TCO TO BE- SW'!$F14+'TCO TO BE- SW'!$F24</f>
        <v>0</v>
      </c>
    </row>
    <row r="8" spans="1:13" x14ac:dyDescent="0.3">
      <c r="A8" s="190"/>
      <c r="B8" s="187" t="s">
        <v>107</v>
      </c>
      <c r="C8" s="96">
        <f t="shared" si="0"/>
        <v>0</v>
      </c>
      <c r="D8" s="112">
        <f>'TCO TO BE- SW'!$F58+'TCO TO BE- SW'!$F68</f>
        <v>0</v>
      </c>
      <c r="E8" s="93">
        <f>'TCO TO BE- SW'!$F59+'TCO TO BE- SW'!$F69</f>
        <v>0</v>
      </c>
      <c r="F8" s="93">
        <f>'TCO TO BE- SW'!$F60+'TCO TO BE- SW'!$F70</f>
        <v>0</v>
      </c>
      <c r="G8" s="93">
        <f>'TCO TO BE- SW'!$F61+'TCO TO BE- SW'!$F71</f>
        <v>0</v>
      </c>
      <c r="H8" s="93">
        <f>'TCO TO BE- SW'!$F62+'TCO TO BE- SW'!$F72</f>
        <v>0</v>
      </c>
      <c r="I8" s="93">
        <f>'TCO TO BE- SW'!$F63+'TCO TO BE- SW'!$F73</f>
        <v>0</v>
      </c>
      <c r="J8" s="93">
        <f>'TCO TO BE- SW'!$F64+'TCO TO BE- SW'!$F74</f>
        <v>0</v>
      </c>
      <c r="K8" s="93">
        <f>'TCO TO BE- SW'!$F65+'TCO TO BE- SW'!$F75</f>
        <v>0</v>
      </c>
      <c r="L8" s="93">
        <f>'TCO TO BE- SW'!$F66+'TCO TO BE- SW'!$F76</f>
        <v>0</v>
      </c>
      <c r="M8" s="113">
        <f>'TCO TO BE- SW'!$F67+'TCO TO BE- SW'!$F77</f>
        <v>0</v>
      </c>
    </row>
    <row r="9" spans="1:13" x14ac:dyDescent="0.3">
      <c r="A9" s="190"/>
      <c r="B9" s="187" t="s">
        <v>108</v>
      </c>
      <c r="C9" s="96">
        <f t="shared" si="0"/>
        <v>1663200</v>
      </c>
      <c r="D9" s="112">
        <f>'TCO TO BE- SW'!$F26+'TCO TO BE- SW'!$F36+'TCO TO BE- SW'!$F46</f>
        <v>1663200</v>
      </c>
      <c r="E9" s="93">
        <f>'TCO TO BE- SW'!$F27+'TCO TO BE- SW'!$F37+'TCO TO BE- SW'!$F47</f>
        <v>0</v>
      </c>
      <c r="F9" s="93">
        <f>'TCO TO BE- SW'!$F28+'TCO TO BE- SW'!$F38+'TCO TO BE- SW'!$F48</f>
        <v>0</v>
      </c>
      <c r="G9" s="93">
        <f>'TCO TO BE- SW'!$F29+'TCO TO BE- SW'!$F39+'TCO TO BE- SW'!$F49</f>
        <v>0</v>
      </c>
      <c r="H9" s="93">
        <f>'TCO TO BE- SW'!$F30+'TCO TO BE- SW'!$F40+'TCO TO BE- SW'!$F50</f>
        <v>0</v>
      </c>
      <c r="I9" s="93">
        <f>'TCO TO BE- SW'!$F31+'TCO TO BE- SW'!$F41+'TCO TO BE- SW'!$F51</f>
        <v>0</v>
      </c>
      <c r="J9" s="93">
        <f>'TCO TO BE- SW'!$F32+'TCO TO BE- SW'!$F42+'TCO TO BE- SW'!$F52</f>
        <v>0</v>
      </c>
      <c r="K9" s="93">
        <f>'TCO TO BE- SW'!$F33+'TCO TO BE- SW'!$F43+'TCO TO BE- SW'!$F53</f>
        <v>0</v>
      </c>
      <c r="L9" s="93">
        <f>'TCO TO BE- SW'!$F34+'TCO TO BE- SW'!$F44+'TCO TO BE- SW'!$F54</f>
        <v>0</v>
      </c>
      <c r="M9" s="113">
        <f>'TCO TO BE- SW'!$F35+'TCO TO BE- SW'!$F45+'TCO TO BE- SW'!$F55</f>
        <v>0</v>
      </c>
    </row>
    <row r="10" spans="1:13" x14ac:dyDescent="0.3">
      <c r="A10" s="190"/>
      <c r="B10" s="187" t="s">
        <v>109</v>
      </c>
      <c r="C10" s="96">
        <f t="shared" si="0"/>
        <v>1641600</v>
      </c>
      <c r="D10" s="112">
        <f>'TCO TO BE- SW'!$F79+'TCO TO BE- SW'!$F89+'TCO TO BE- SW'!$F99+'TCO TO BE- SW'!$F109+'TCO TO BE- SW'!$F119</f>
        <v>0</v>
      </c>
      <c r="E10" s="93">
        <f>'TCO TO BE- SW'!$F80+'TCO TO BE- SW'!$F90+'TCO TO BE- SW'!$F100+'TCO TO BE- SW'!$F110+'TCO TO BE- SW'!$F120</f>
        <v>182400</v>
      </c>
      <c r="F10" s="93">
        <f>'TCO TO BE- SW'!$F81+'TCO TO BE- SW'!$F91+'TCO TO BE- SW'!$F101+'TCO TO BE- SW'!$F111+'TCO TO BE- SW'!$F121</f>
        <v>182400</v>
      </c>
      <c r="G10" s="93">
        <f>'TCO TO BE- SW'!$F82+'TCO TO BE- SW'!$F92+'TCO TO BE- SW'!$F102+'TCO TO BE- SW'!$F112+'TCO TO BE- SW'!$F122</f>
        <v>182400</v>
      </c>
      <c r="H10" s="93">
        <f>'TCO TO BE- SW'!$F83+'TCO TO BE- SW'!$F93+'TCO TO BE- SW'!$F103+'TCO TO BE- SW'!$F113+'TCO TO BE- SW'!$F123</f>
        <v>182400</v>
      </c>
      <c r="I10" s="93">
        <f>'TCO TO BE- SW'!$F84+'TCO TO BE- SW'!$F94+'TCO TO BE- SW'!$F104+'TCO TO BE- SW'!$F114+'TCO TO BE- SW'!$F124</f>
        <v>182400</v>
      </c>
      <c r="J10" s="93">
        <f>'TCO TO BE- SW'!$F85+'TCO TO BE- SW'!$F95+'TCO TO BE- SW'!$F105+'TCO TO BE- SW'!$F115+'TCO TO BE- SW'!$F125</f>
        <v>182400</v>
      </c>
      <c r="K10" s="93">
        <f>'TCO TO BE- SW'!$F86+'TCO TO BE- SW'!$F96+'TCO TO BE- SW'!$F106+'TCO TO BE- SW'!$F116+'TCO TO BE- SW'!$F126</f>
        <v>182400</v>
      </c>
      <c r="L10" s="93">
        <f>'TCO TO BE- SW'!$F87+'TCO TO BE- SW'!$F97+'TCO TO BE- SW'!$F107+'TCO TO BE- SW'!$F117+'TCO TO BE- SW'!$F127</f>
        <v>182400</v>
      </c>
      <c r="M10" s="113">
        <f>'TCO TO BE- SW'!$F88+'TCO TO BE- SW'!$F98+'TCO TO BE- SW'!$F108+'TCO TO BE- SW'!$F118+'TCO TO BE- SW'!$F128</f>
        <v>182400</v>
      </c>
    </row>
    <row r="11" spans="1:13" x14ac:dyDescent="0.3">
      <c r="A11" s="190"/>
      <c r="B11" s="187" t="s">
        <v>306</v>
      </c>
      <c r="C11" s="96">
        <f t="shared" si="0"/>
        <v>0</v>
      </c>
      <c r="D11" s="112">
        <f>'TCO TO BE- SW'!F151+'TCO TO BE- SW'!F161</f>
        <v>0</v>
      </c>
      <c r="E11" s="93">
        <f>'TCO TO BE- SW'!F152+'TCO TO BE- SW'!F162</f>
        <v>0</v>
      </c>
      <c r="F11" s="93">
        <f>'TCO TO BE- SW'!F153+'TCO TO BE- SW'!F163</f>
        <v>0</v>
      </c>
      <c r="G11" s="93">
        <f>'TCO TO BE- SW'!F154+'TCO TO BE- SW'!F164</f>
        <v>0</v>
      </c>
      <c r="H11" s="93">
        <f>'TCO TO BE- SW'!F155+'TCO TO BE- SW'!F165</f>
        <v>0</v>
      </c>
      <c r="I11" s="93">
        <f>'TCO TO BE- SW'!F156+'TCO TO BE- SW'!F166</f>
        <v>0</v>
      </c>
      <c r="J11" s="93">
        <f>'TCO TO BE- SW'!F157+'TCO TO BE- SW'!F167</f>
        <v>0</v>
      </c>
      <c r="K11" s="93">
        <f>'TCO TO BE- SW'!F158+'TCO TO BE- SW'!F168</f>
        <v>0</v>
      </c>
      <c r="L11" s="93">
        <f>'TCO TO BE- SW'!F159+'TCO TO BE- SW'!F169</f>
        <v>0</v>
      </c>
      <c r="M11" s="113">
        <f>'TCO TO BE- SW'!F160+'TCO TO BE- SW'!F170</f>
        <v>0</v>
      </c>
    </row>
    <row r="12" spans="1:13" x14ac:dyDescent="0.3">
      <c r="A12" s="190"/>
      <c r="B12" s="187" t="s">
        <v>100</v>
      </c>
      <c r="C12" s="96">
        <f t="shared" si="0"/>
        <v>63200</v>
      </c>
      <c r="D12" s="112">
        <f>'TCO TO BE - HW'!$E4+'TCO TO BE - HW'!$E14+'TCO TO BE - HW'!$E24</f>
        <v>63200</v>
      </c>
      <c r="E12" s="93">
        <f>'TCO TO BE - HW'!$E5+'TCO TO BE - HW'!$E15+'TCO TO BE - HW'!$E25</f>
        <v>0</v>
      </c>
      <c r="F12" s="93">
        <f>'TCO TO BE - HW'!$E6+'TCO TO BE - HW'!$E16+'TCO TO BE - HW'!$E26</f>
        <v>0</v>
      </c>
      <c r="G12" s="93">
        <f>'TCO TO BE - HW'!$E7+'TCO TO BE - HW'!$E17+'TCO TO BE - HW'!$E27</f>
        <v>0</v>
      </c>
      <c r="H12" s="93">
        <f>'TCO TO BE - HW'!$E8+'TCO TO BE - HW'!$E18+'TCO TO BE - HW'!$E28</f>
        <v>0</v>
      </c>
      <c r="I12" s="93">
        <f>'TCO TO BE - HW'!$E9+'TCO TO BE - HW'!$E19+'TCO TO BE - HW'!$E29</f>
        <v>0</v>
      </c>
      <c r="J12" s="93">
        <f>'TCO TO BE - HW'!$E10+'TCO TO BE - HW'!$E20+'TCO TO BE - HW'!$E30</f>
        <v>0</v>
      </c>
      <c r="K12" s="93">
        <f>'TCO TO BE - HW'!$E11+'TCO TO BE - HW'!$E21+'TCO TO BE - HW'!$E31</f>
        <v>0</v>
      </c>
      <c r="L12" s="93">
        <f>'TCO TO BE - HW'!$E12+'TCO TO BE - HW'!$E22+'TCO TO BE - HW'!$E32</f>
        <v>0</v>
      </c>
      <c r="M12" s="113">
        <f>'TCO TO BE - HW'!$E13+'TCO TO BE - HW'!$E23+'TCO TO BE - HW'!$E33</f>
        <v>0</v>
      </c>
    </row>
    <row r="13" spans="1:13" x14ac:dyDescent="0.3">
      <c r="A13" s="190"/>
      <c r="B13" s="187" t="s">
        <v>101</v>
      </c>
      <c r="C13" s="96">
        <f t="shared" si="0"/>
        <v>0</v>
      </c>
      <c r="D13" s="112">
        <f>'TCO TO BE - HW'!$E35+'TCO TO BE - HW'!$E45+'TCO TO BE - HW'!$E55+'TCO TO BE - HW'!$E65+'TCO TO BE - HW'!$E75</f>
        <v>0</v>
      </c>
      <c r="E13" s="93">
        <f>'TCO TO BE - HW'!$E36+'TCO TO BE - HW'!$E46+'TCO TO BE - HW'!$E56+'TCO TO BE - HW'!$E66+'TCO TO BE - HW'!$E76</f>
        <v>0</v>
      </c>
      <c r="F13" s="93">
        <f>'TCO TO BE - HW'!$E37+'TCO TO BE - HW'!$E47+'TCO TO BE - HW'!$E57+'TCO TO BE - HW'!$E67+'TCO TO BE - HW'!$E77</f>
        <v>0</v>
      </c>
      <c r="G13" s="93">
        <f>'TCO TO BE - HW'!$E38+'TCO TO BE - HW'!$E48+'TCO TO BE - HW'!$E58+'TCO TO BE - HW'!$E68+'TCO TO BE - HW'!$E78</f>
        <v>0</v>
      </c>
      <c r="H13" s="93">
        <f>'TCO TO BE - HW'!$E39+'TCO TO BE - HW'!$E49+'TCO TO BE - HW'!$E59+'TCO TO BE - HW'!$E69+'TCO TO BE - HW'!$E79</f>
        <v>0</v>
      </c>
      <c r="I13" s="93">
        <f>'TCO TO BE - HW'!$E40+'TCO TO BE - HW'!$E50+'TCO TO BE - HW'!$E60+'TCO TO BE - HW'!$E70+'TCO TO BE - HW'!$E80</f>
        <v>0</v>
      </c>
      <c r="J13" s="93">
        <f>'TCO TO BE - HW'!$E41+'TCO TO BE - HW'!$E51+'TCO TO BE - HW'!$E61+'TCO TO BE - HW'!$E71+'TCO TO BE - HW'!$E81</f>
        <v>0</v>
      </c>
      <c r="K13" s="93">
        <f>'TCO TO BE - HW'!$E42+'TCO TO BE - HW'!$E52+'TCO TO BE - HW'!$E62+'TCO TO BE - HW'!$E72+'TCO TO BE - HW'!$E82</f>
        <v>0</v>
      </c>
      <c r="L13" s="93">
        <f>'TCO TO BE - HW'!$E43+'TCO TO BE - HW'!$E53+'TCO TO BE - HW'!$E63+'TCO TO BE - HW'!$E73+'TCO TO BE - HW'!$E83</f>
        <v>0</v>
      </c>
      <c r="M13" s="113">
        <f>'TCO TO BE - HW'!$E44+'TCO TO BE - HW'!$E54+'TCO TO BE - HW'!$E64+'TCO TO BE - HW'!$E74+'TCO TO BE - HW'!$E84</f>
        <v>0</v>
      </c>
    </row>
    <row r="14" spans="1:13" ht="15" thickBot="1" x14ac:dyDescent="0.35">
      <c r="A14" s="190"/>
      <c r="B14" s="420" t="s">
        <v>276</v>
      </c>
      <c r="C14" s="421">
        <f t="shared" si="0"/>
        <v>175152</v>
      </c>
      <c r="D14" s="422">
        <f>'TCO TO BE- SW'!F130+'TCO TO BE- SW'!F140</f>
        <v>175152</v>
      </c>
      <c r="E14" s="423">
        <f>'TCO TO BE- SW'!F131+'TCO TO BE- SW'!F141</f>
        <v>0</v>
      </c>
      <c r="F14" s="423">
        <f>'TCO TO BE- SW'!F132+'TCO TO BE- SW'!F142</f>
        <v>0</v>
      </c>
      <c r="G14" s="423">
        <f>'TCO TO BE- SW'!F133+'TCO TO BE- SW'!F143</f>
        <v>0</v>
      </c>
      <c r="H14" s="423">
        <f>'TCO TO BE- SW'!F134+'TCO TO BE- SW'!F144</f>
        <v>0</v>
      </c>
      <c r="I14" s="423">
        <f>'TCO TO BE- SW'!F135+'TCO TO BE- SW'!F145</f>
        <v>0</v>
      </c>
      <c r="J14" s="423">
        <f>'TCO TO BE- SW'!F136+'TCO TO BE- SW'!F146</f>
        <v>0</v>
      </c>
      <c r="K14" s="423">
        <f>'TCO TO BE- SW'!F137+'TCO TO BE- SW'!F147</f>
        <v>0</v>
      </c>
      <c r="L14" s="423">
        <f>'TCO TO BE- SW'!F138+'TCO TO BE- SW'!F148</f>
        <v>0</v>
      </c>
      <c r="M14" s="424">
        <f>'TCO TO BE- SW'!F139+'TCO TO BE- SW'!F149</f>
        <v>0</v>
      </c>
    </row>
    <row r="15" spans="1:13" ht="15" thickBot="1" x14ac:dyDescent="0.35">
      <c r="A15" s="191"/>
      <c r="B15" s="188" t="s">
        <v>102</v>
      </c>
      <c r="C15" s="98">
        <f>SUM(C7:C14)</f>
        <v>3543152</v>
      </c>
      <c r="D15" s="94">
        <f>SUM(D7:D14)</f>
        <v>1901552</v>
      </c>
      <c r="E15" s="83">
        <f t="shared" ref="E15:M15" si="1">SUM(E7:E14)</f>
        <v>182400</v>
      </c>
      <c r="F15" s="83">
        <f t="shared" si="1"/>
        <v>182400</v>
      </c>
      <c r="G15" s="83">
        <f t="shared" si="1"/>
        <v>182400</v>
      </c>
      <c r="H15" s="83">
        <f t="shared" si="1"/>
        <v>182400</v>
      </c>
      <c r="I15" s="83">
        <f t="shared" si="1"/>
        <v>182400</v>
      </c>
      <c r="J15" s="83">
        <f t="shared" si="1"/>
        <v>182400</v>
      </c>
      <c r="K15" s="83">
        <f t="shared" si="1"/>
        <v>182400</v>
      </c>
      <c r="L15" s="100">
        <f t="shared" si="1"/>
        <v>182400</v>
      </c>
      <c r="M15" s="99">
        <f t="shared" si="1"/>
        <v>182400</v>
      </c>
    </row>
    <row r="16" spans="1:13" ht="15" thickBot="1" x14ac:dyDescent="0.35">
      <c r="A16" s="81"/>
      <c r="B16" s="92" t="s">
        <v>596</v>
      </c>
      <c r="C16" s="98">
        <f>SUM(D9,D12:D14)</f>
        <v>1901552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32.25" customHeight="1" x14ac:dyDescent="0.3">
      <c r="A18" s="1100" t="s">
        <v>114</v>
      </c>
      <c r="B18" s="1100"/>
      <c r="C18" s="1100"/>
      <c r="D18" s="87"/>
      <c r="E18" s="86"/>
      <c r="F18" s="86"/>
      <c r="G18" s="86"/>
      <c r="H18" s="86"/>
      <c r="I18" s="86"/>
      <c r="J18" s="86"/>
      <c r="K18" s="86"/>
      <c r="L18" s="86"/>
      <c r="M18" s="80"/>
    </row>
    <row r="19" spans="1:13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thickBot="1" x14ac:dyDescent="0.35">
      <c r="A20" s="90"/>
      <c r="B20" s="91"/>
      <c r="C20" s="85"/>
      <c r="D20" s="1099" t="s">
        <v>99</v>
      </c>
      <c r="E20" s="1099"/>
      <c r="F20" s="1099"/>
      <c r="G20" s="1099"/>
      <c r="H20" s="1099"/>
      <c r="I20" s="1099"/>
      <c r="J20" s="1099"/>
      <c r="K20" s="1099"/>
      <c r="L20" s="1099"/>
      <c r="M20" s="1099"/>
    </row>
    <row r="21" spans="1:13" ht="17.100000000000001" customHeight="1" x14ac:dyDescent="0.3">
      <c r="A21" s="189"/>
      <c r="B21" s="185" t="s">
        <v>215</v>
      </c>
      <c r="C21" s="95" t="s">
        <v>103</v>
      </c>
      <c r="D21" s="109" t="s">
        <v>25</v>
      </c>
      <c r="E21" s="110" t="s">
        <v>26</v>
      </c>
      <c r="F21" s="110" t="s">
        <v>27</v>
      </c>
      <c r="G21" s="110" t="s">
        <v>28</v>
      </c>
      <c r="H21" s="110" t="s">
        <v>29</v>
      </c>
      <c r="I21" s="110" t="s">
        <v>30</v>
      </c>
      <c r="J21" s="110" t="s">
        <v>31</v>
      </c>
      <c r="K21" s="110" t="s">
        <v>32</v>
      </c>
      <c r="L21" s="110" t="s">
        <v>33</v>
      </c>
      <c r="M21" s="111" t="s">
        <v>34</v>
      </c>
    </row>
    <row r="22" spans="1:13" ht="15" customHeight="1" x14ac:dyDescent="0.3">
      <c r="A22" s="190"/>
      <c r="B22" s="107" t="s">
        <v>106</v>
      </c>
      <c r="C22" s="96">
        <v>0</v>
      </c>
      <c r="D22" s="112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113">
        <v>0</v>
      </c>
    </row>
    <row r="23" spans="1:13" ht="17.25" customHeight="1" x14ac:dyDescent="0.3">
      <c r="A23" s="190"/>
      <c r="B23" s="107" t="s">
        <v>107</v>
      </c>
      <c r="C23" s="96">
        <f>SUM(D23:M23)</f>
        <v>0</v>
      </c>
      <c r="D23" s="112">
        <f>'TCO AS IS - SW'!E5+'TCO AS IS - SW'!E15</f>
        <v>0</v>
      </c>
      <c r="E23" s="93">
        <f>'TCO AS IS - SW'!E6+'TCO AS IS - SW'!E16</f>
        <v>0</v>
      </c>
      <c r="F23" s="93">
        <f>'TCO AS IS - SW'!E7+'TCO AS IS - SW'!E17</f>
        <v>0</v>
      </c>
      <c r="G23" s="93">
        <f>'TCO AS IS - SW'!E8+'TCO AS IS - SW'!E18</f>
        <v>0</v>
      </c>
      <c r="H23" s="93">
        <f>'TCO AS IS - SW'!E9+'TCO AS IS - SW'!E19</f>
        <v>0</v>
      </c>
      <c r="I23" s="93">
        <f>'TCO AS IS - SW'!E10+'TCO AS IS - SW'!E20</f>
        <v>0</v>
      </c>
      <c r="J23" s="93">
        <f>'TCO AS IS - SW'!E11+'TCO AS IS - SW'!E21</f>
        <v>0</v>
      </c>
      <c r="K23" s="93">
        <f>'TCO AS IS - SW'!E12+'TCO AS IS - SW'!E22</f>
        <v>0</v>
      </c>
      <c r="L23" s="93">
        <f>'TCO AS IS - SW'!E13+'TCO AS IS - SW'!E23</f>
        <v>0</v>
      </c>
      <c r="M23" s="113">
        <f>'TCO AS IS - SW'!E14+'TCO AS IS - SW'!E24</f>
        <v>0</v>
      </c>
    </row>
    <row r="24" spans="1:13" x14ac:dyDescent="0.3">
      <c r="A24" s="190"/>
      <c r="B24" s="107" t="s">
        <v>108</v>
      </c>
      <c r="C24" s="96">
        <v>0</v>
      </c>
      <c r="D24" s="112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113">
        <v>0</v>
      </c>
    </row>
    <row r="25" spans="1:13" x14ac:dyDescent="0.3">
      <c r="A25" s="190"/>
      <c r="B25" s="107" t="s">
        <v>109</v>
      </c>
      <c r="C25" s="96">
        <f>SUM(D25:M25)</f>
        <v>315647.99999999994</v>
      </c>
      <c r="D25" s="112">
        <f>'TCO AS IS - SW'!E26+'TCO AS IS - SW'!E36+'TCO AS IS - SW'!E46+'TCO AS IS - SW'!E56+'TCO AS IS - SW'!E66</f>
        <v>31564.799999999999</v>
      </c>
      <c r="E25" s="93">
        <f>'TCO AS IS - SW'!E27+'TCO AS IS - SW'!E37+'TCO AS IS - SW'!E47+'TCO AS IS - SW'!E57+'TCO AS IS - SW'!E67</f>
        <v>31564.799999999999</v>
      </c>
      <c r="F25" s="93">
        <f>'TCO AS IS - SW'!E28+'TCO AS IS - SW'!E38+'TCO AS IS - SW'!E48+'TCO AS IS - SW'!E58+'TCO AS IS - SW'!E68</f>
        <v>31564.799999999999</v>
      </c>
      <c r="G25" s="93">
        <f>'TCO AS IS - SW'!E29+'TCO AS IS - SW'!E39+'TCO AS IS - SW'!E49+'TCO AS IS - SW'!E59+'TCO AS IS - SW'!E69</f>
        <v>31564.799999999999</v>
      </c>
      <c r="H25" s="93">
        <f>'TCO AS IS - SW'!E30+'TCO AS IS - SW'!E40+'TCO AS IS - SW'!E50+'TCO AS IS - SW'!E60+'TCO AS IS - SW'!E70</f>
        <v>31564.799999999999</v>
      </c>
      <c r="I25" s="93">
        <f>'TCO AS IS - SW'!E31+'TCO AS IS - SW'!E41+'TCO AS IS - SW'!E51+'TCO AS IS - SW'!E61+'TCO AS IS - SW'!E71</f>
        <v>31564.799999999999</v>
      </c>
      <c r="J25" s="93">
        <f>'TCO AS IS - SW'!E32+'TCO AS IS - SW'!E42+'TCO AS IS - SW'!E52+'TCO AS IS - SW'!E62+'TCO AS IS - SW'!E72</f>
        <v>31564.799999999999</v>
      </c>
      <c r="K25" s="93">
        <f>'TCO AS IS - SW'!E33+'TCO AS IS - SW'!E43+'TCO AS IS - SW'!E53+'TCO AS IS - SW'!E63+'TCO AS IS - SW'!E73</f>
        <v>31564.799999999999</v>
      </c>
      <c r="L25" s="93">
        <f>'TCO AS IS - SW'!E34+'TCO AS IS - SW'!E44+'TCO AS IS - SW'!E54+'TCO AS IS - SW'!E64+'TCO AS IS - SW'!E74</f>
        <v>31564.799999999999</v>
      </c>
      <c r="M25" s="113">
        <f>'TCO AS IS - SW'!E35+'TCO AS IS - SW'!E45+'TCO AS IS - SW'!E55+'TCO AS IS - SW'!E65+'TCO AS IS - SW'!E75</f>
        <v>31564.799999999999</v>
      </c>
    </row>
    <row r="26" spans="1:13" x14ac:dyDescent="0.3">
      <c r="A26" s="190"/>
      <c r="B26" s="107" t="s">
        <v>100</v>
      </c>
      <c r="C26" s="96">
        <v>0</v>
      </c>
      <c r="D26" s="112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113">
        <v>0</v>
      </c>
    </row>
    <row r="27" spans="1:13" ht="15" thickBot="1" x14ac:dyDescent="0.35">
      <c r="A27" s="190"/>
      <c r="B27" s="108" t="s">
        <v>101</v>
      </c>
      <c r="C27" s="97">
        <f>SUM(D27:M27)</f>
        <v>0</v>
      </c>
      <c r="D27" s="114">
        <f>'TCO AS IS - HW'!E4+'TCO AS IS - HW'!E14+'TCO AS IS - HW'!E24+'TCO AS IS - HW'!E34+'TCO AS IS - HW'!E44</f>
        <v>0</v>
      </c>
      <c r="E27" s="115">
        <f>'TCO AS IS - HW'!E5+'TCO AS IS - HW'!E15+'TCO AS IS - HW'!E25+'TCO AS IS - HW'!E35+'TCO AS IS - HW'!E45</f>
        <v>0</v>
      </c>
      <c r="F27" s="115">
        <f>'TCO AS IS - HW'!E6+'TCO AS IS - HW'!E16+'TCO AS IS - HW'!E26+'TCO AS IS - HW'!E36+'TCO AS IS - HW'!E46</f>
        <v>0</v>
      </c>
      <c r="G27" s="115">
        <f>'TCO AS IS - HW'!E7+'TCO AS IS - HW'!E17+'TCO AS IS - HW'!E27+'TCO AS IS - HW'!E37+'TCO AS IS - HW'!E47</f>
        <v>0</v>
      </c>
      <c r="H27" s="115">
        <f>'TCO AS IS - HW'!E8+'TCO AS IS - HW'!E18+'TCO AS IS - HW'!E28+'TCO AS IS - HW'!E38+'TCO AS IS - HW'!E48</f>
        <v>0</v>
      </c>
      <c r="I27" s="115">
        <f>'TCO AS IS - HW'!E9+'TCO AS IS - HW'!E19+'TCO AS IS - HW'!E29+'TCO AS IS - HW'!E39+'TCO AS IS - HW'!E49</f>
        <v>0</v>
      </c>
      <c r="J27" s="115">
        <f>'TCO AS IS - HW'!E10+'TCO AS IS - HW'!E20+'TCO AS IS - HW'!E30+'TCO AS IS - HW'!E40+'TCO AS IS - HW'!E50</f>
        <v>0</v>
      </c>
      <c r="K27" s="115">
        <f>'TCO AS IS - HW'!E11+'TCO AS IS - HW'!E21+'TCO AS IS - HW'!E31+'TCO AS IS - HW'!E41+'TCO AS IS - HW'!E51</f>
        <v>0</v>
      </c>
      <c r="L27" s="115">
        <f>'TCO AS IS - HW'!E12+'TCO AS IS - HW'!E22+'TCO AS IS - HW'!E32+'TCO AS IS - HW'!E42+'TCO AS IS - HW'!E52</f>
        <v>0</v>
      </c>
      <c r="M27" s="116">
        <f>'TCO AS IS - HW'!E13+'TCO AS IS - HW'!E23+'TCO AS IS - HW'!E33+'TCO AS IS - HW'!E43+'TCO AS IS - HW'!E53</f>
        <v>0</v>
      </c>
    </row>
    <row r="28" spans="1:13" ht="15" thickBot="1" x14ac:dyDescent="0.35">
      <c r="A28" s="191"/>
      <c r="B28" s="92" t="s">
        <v>102</v>
      </c>
      <c r="C28" s="98">
        <f t="shared" ref="C28:M28" si="2">SUM(C22:C27)</f>
        <v>315647.99999999994</v>
      </c>
      <c r="D28" s="94">
        <f t="shared" si="2"/>
        <v>31564.799999999999</v>
      </c>
      <c r="E28" s="83">
        <f t="shared" si="2"/>
        <v>31564.799999999999</v>
      </c>
      <c r="F28" s="83">
        <f t="shared" si="2"/>
        <v>31564.799999999999</v>
      </c>
      <c r="G28" s="83">
        <f t="shared" si="2"/>
        <v>31564.799999999999</v>
      </c>
      <c r="H28" s="83">
        <f t="shared" si="2"/>
        <v>31564.799999999999</v>
      </c>
      <c r="I28" s="83">
        <f t="shared" si="2"/>
        <v>31564.799999999999</v>
      </c>
      <c r="J28" s="83">
        <f t="shared" si="2"/>
        <v>31564.799999999999</v>
      </c>
      <c r="K28" s="83">
        <f t="shared" si="2"/>
        <v>31564.799999999999</v>
      </c>
      <c r="L28" s="100">
        <f t="shared" si="2"/>
        <v>31564.799999999999</v>
      </c>
      <c r="M28" s="99">
        <f t="shared" si="2"/>
        <v>31564.799999999999</v>
      </c>
    </row>
    <row r="29" spans="1:13" x14ac:dyDescent="0.3">
      <c r="A29" s="182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</row>
    <row r="32" spans="1:13" ht="15.75" customHeight="1" x14ac:dyDescent="0.3">
      <c r="A32" s="1100" t="s">
        <v>202</v>
      </c>
      <c r="B32" s="1100"/>
      <c r="C32" s="1100"/>
    </row>
    <row r="34" spans="1:13" ht="15" thickBot="1" x14ac:dyDescent="0.35"/>
    <row r="35" spans="1:13" x14ac:dyDescent="0.3">
      <c r="A35" s="189"/>
      <c r="B35" s="185" t="s">
        <v>153</v>
      </c>
      <c r="C35" s="132" t="s">
        <v>103</v>
      </c>
      <c r="D35" s="133" t="s">
        <v>25</v>
      </c>
      <c r="E35" s="134" t="s">
        <v>26</v>
      </c>
      <c r="F35" s="134" t="s">
        <v>27</v>
      </c>
      <c r="G35" s="134" t="s">
        <v>28</v>
      </c>
      <c r="H35" s="134" t="s">
        <v>29</v>
      </c>
      <c r="I35" s="134" t="s">
        <v>30</v>
      </c>
      <c r="J35" s="134" t="s">
        <v>31</v>
      </c>
      <c r="K35" s="134" t="s">
        <v>32</v>
      </c>
      <c r="L35" s="134" t="s">
        <v>33</v>
      </c>
      <c r="M35" s="135" t="s">
        <v>34</v>
      </c>
    </row>
    <row r="36" spans="1:13" x14ac:dyDescent="0.3">
      <c r="A36" s="190"/>
      <c r="B36" s="136" t="s">
        <v>106</v>
      </c>
      <c r="C36" s="137">
        <f>SUM(D36:M36)</f>
        <v>0</v>
      </c>
      <c r="D36" s="138">
        <f t="shared" ref="D36:M36" si="3">D7-D22</f>
        <v>0</v>
      </c>
      <c r="E36" s="139">
        <f t="shared" si="3"/>
        <v>0</v>
      </c>
      <c r="F36" s="139">
        <f t="shared" si="3"/>
        <v>0</v>
      </c>
      <c r="G36" s="139">
        <f t="shared" si="3"/>
        <v>0</v>
      </c>
      <c r="H36" s="139">
        <f t="shared" si="3"/>
        <v>0</v>
      </c>
      <c r="I36" s="139">
        <f t="shared" si="3"/>
        <v>0</v>
      </c>
      <c r="J36" s="139">
        <f t="shared" si="3"/>
        <v>0</v>
      </c>
      <c r="K36" s="139">
        <f t="shared" si="3"/>
        <v>0</v>
      </c>
      <c r="L36" s="139">
        <f t="shared" si="3"/>
        <v>0</v>
      </c>
      <c r="M36" s="149">
        <f t="shared" si="3"/>
        <v>0</v>
      </c>
    </row>
    <row r="37" spans="1:13" x14ac:dyDescent="0.3">
      <c r="A37" s="190"/>
      <c r="B37" s="141" t="s">
        <v>107</v>
      </c>
      <c r="C37" s="137">
        <f t="shared" ref="C37:C43" si="4">SUM(D37:M37)</f>
        <v>0</v>
      </c>
      <c r="D37" s="138">
        <f t="shared" ref="D37:M37" si="5">D8-D23</f>
        <v>0</v>
      </c>
      <c r="E37" s="139">
        <f t="shared" si="5"/>
        <v>0</v>
      </c>
      <c r="F37" s="139">
        <f t="shared" si="5"/>
        <v>0</v>
      </c>
      <c r="G37" s="139">
        <f t="shared" si="5"/>
        <v>0</v>
      </c>
      <c r="H37" s="139">
        <f t="shared" si="5"/>
        <v>0</v>
      </c>
      <c r="I37" s="139">
        <f t="shared" si="5"/>
        <v>0</v>
      </c>
      <c r="J37" s="139">
        <f t="shared" si="5"/>
        <v>0</v>
      </c>
      <c r="K37" s="139">
        <f t="shared" si="5"/>
        <v>0</v>
      </c>
      <c r="L37" s="150">
        <f t="shared" si="5"/>
        <v>0</v>
      </c>
      <c r="M37" s="140">
        <f t="shared" si="5"/>
        <v>0</v>
      </c>
    </row>
    <row r="38" spans="1:13" x14ac:dyDescent="0.3">
      <c r="A38" s="190"/>
      <c r="B38" s="136" t="s">
        <v>108</v>
      </c>
      <c r="C38" s="137">
        <f t="shared" si="4"/>
        <v>1663200</v>
      </c>
      <c r="D38" s="138">
        <f t="shared" ref="D38:M38" si="6">D9-D24</f>
        <v>1663200</v>
      </c>
      <c r="E38" s="139">
        <f t="shared" si="6"/>
        <v>0</v>
      </c>
      <c r="F38" s="139">
        <f t="shared" si="6"/>
        <v>0</v>
      </c>
      <c r="G38" s="139">
        <f t="shared" si="6"/>
        <v>0</v>
      </c>
      <c r="H38" s="139">
        <f t="shared" si="6"/>
        <v>0</v>
      </c>
      <c r="I38" s="139">
        <f t="shared" si="6"/>
        <v>0</v>
      </c>
      <c r="J38" s="139">
        <f t="shared" si="6"/>
        <v>0</v>
      </c>
      <c r="K38" s="139">
        <f t="shared" si="6"/>
        <v>0</v>
      </c>
      <c r="L38" s="150">
        <f t="shared" si="6"/>
        <v>0</v>
      </c>
      <c r="M38" s="140">
        <f t="shared" si="6"/>
        <v>0</v>
      </c>
    </row>
    <row r="39" spans="1:13" x14ac:dyDescent="0.3">
      <c r="A39" s="190"/>
      <c r="B39" s="107" t="s">
        <v>109</v>
      </c>
      <c r="C39" s="137">
        <f t="shared" si="4"/>
        <v>1325951.9999999998</v>
      </c>
      <c r="D39" s="138">
        <f t="shared" ref="D39:M39" si="7">D10-D25</f>
        <v>-31564.799999999999</v>
      </c>
      <c r="E39" s="139">
        <f t="shared" si="7"/>
        <v>150835.20000000001</v>
      </c>
      <c r="F39" s="139">
        <f t="shared" si="7"/>
        <v>150835.20000000001</v>
      </c>
      <c r="G39" s="139">
        <f t="shared" si="7"/>
        <v>150835.20000000001</v>
      </c>
      <c r="H39" s="139">
        <f t="shared" si="7"/>
        <v>150835.20000000001</v>
      </c>
      <c r="I39" s="139">
        <f t="shared" si="7"/>
        <v>150835.20000000001</v>
      </c>
      <c r="J39" s="139">
        <f t="shared" si="7"/>
        <v>150835.20000000001</v>
      </c>
      <c r="K39" s="139">
        <f t="shared" si="7"/>
        <v>150835.20000000001</v>
      </c>
      <c r="L39" s="150">
        <f t="shared" si="7"/>
        <v>150835.20000000001</v>
      </c>
      <c r="M39" s="140">
        <f t="shared" si="7"/>
        <v>150835.20000000001</v>
      </c>
    </row>
    <row r="40" spans="1:13" x14ac:dyDescent="0.3">
      <c r="A40" s="190"/>
      <c r="B40" s="107" t="s">
        <v>306</v>
      </c>
      <c r="C40" s="137">
        <f t="shared" si="4"/>
        <v>0</v>
      </c>
      <c r="D40" s="138">
        <f t="shared" ref="D40:M40" si="8">D11</f>
        <v>0</v>
      </c>
      <c r="E40" s="139">
        <f t="shared" si="8"/>
        <v>0</v>
      </c>
      <c r="F40" s="139">
        <f t="shared" si="8"/>
        <v>0</v>
      </c>
      <c r="G40" s="139">
        <f t="shared" si="8"/>
        <v>0</v>
      </c>
      <c r="H40" s="139">
        <f t="shared" si="8"/>
        <v>0</v>
      </c>
      <c r="I40" s="139">
        <f t="shared" si="8"/>
        <v>0</v>
      </c>
      <c r="J40" s="139">
        <f t="shared" si="8"/>
        <v>0</v>
      </c>
      <c r="K40" s="139">
        <f t="shared" si="8"/>
        <v>0</v>
      </c>
      <c r="L40" s="150">
        <f t="shared" si="8"/>
        <v>0</v>
      </c>
      <c r="M40" s="140">
        <f t="shared" si="8"/>
        <v>0</v>
      </c>
    </row>
    <row r="41" spans="1:13" x14ac:dyDescent="0.3">
      <c r="A41" s="190"/>
      <c r="B41" s="107" t="s">
        <v>155</v>
      </c>
      <c r="C41" s="137">
        <f t="shared" si="4"/>
        <v>63200</v>
      </c>
      <c r="D41" s="138">
        <f t="shared" ref="D41:M41" si="9">D12-D26</f>
        <v>63200</v>
      </c>
      <c r="E41" s="139">
        <f t="shared" si="9"/>
        <v>0</v>
      </c>
      <c r="F41" s="139">
        <f t="shared" si="9"/>
        <v>0</v>
      </c>
      <c r="G41" s="139">
        <f t="shared" si="9"/>
        <v>0</v>
      </c>
      <c r="H41" s="139">
        <f t="shared" si="9"/>
        <v>0</v>
      </c>
      <c r="I41" s="139">
        <f t="shared" si="9"/>
        <v>0</v>
      </c>
      <c r="J41" s="139">
        <f t="shared" si="9"/>
        <v>0</v>
      </c>
      <c r="K41" s="139">
        <f t="shared" si="9"/>
        <v>0</v>
      </c>
      <c r="L41" s="150">
        <f t="shared" si="9"/>
        <v>0</v>
      </c>
      <c r="M41" s="140">
        <f t="shared" si="9"/>
        <v>0</v>
      </c>
    </row>
    <row r="42" spans="1:13" x14ac:dyDescent="0.3">
      <c r="A42" s="190"/>
      <c r="B42" s="142" t="s">
        <v>156</v>
      </c>
      <c r="C42" s="143">
        <f t="shared" si="4"/>
        <v>0</v>
      </c>
      <c r="D42" s="138">
        <f t="shared" ref="D42:M42" si="10">D13-D27</f>
        <v>0</v>
      </c>
      <c r="E42" s="139">
        <f t="shared" si="10"/>
        <v>0</v>
      </c>
      <c r="F42" s="139">
        <f t="shared" si="10"/>
        <v>0</v>
      </c>
      <c r="G42" s="139">
        <f t="shared" si="10"/>
        <v>0</v>
      </c>
      <c r="H42" s="139">
        <f t="shared" si="10"/>
        <v>0</v>
      </c>
      <c r="I42" s="139">
        <f t="shared" si="10"/>
        <v>0</v>
      </c>
      <c r="J42" s="139">
        <f t="shared" si="10"/>
        <v>0</v>
      </c>
      <c r="K42" s="139">
        <f t="shared" si="10"/>
        <v>0</v>
      </c>
      <c r="L42" s="150">
        <f t="shared" si="10"/>
        <v>0</v>
      </c>
      <c r="M42" s="140">
        <f t="shared" si="10"/>
        <v>0</v>
      </c>
    </row>
    <row r="43" spans="1:13" ht="15" thickBot="1" x14ac:dyDescent="0.35">
      <c r="A43" s="190"/>
      <c r="B43" s="107" t="s">
        <v>276</v>
      </c>
      <c r="C43" s="137">
        <f t="shared" si="4"/>
        <v>175152</v>
      </c>
      <c r="D43" s="138">
        <f t="shared" ref="D43:M43" si="11">D14</f>
        <v>175152</v>
      </c>
      <c r="E43" s="139">
        <f t="shared" si="11"/>
        <v>0</v>
      </c>
      <c r="F43" s="139">
        <f t="shared" si="11"/>
        <v>0</v>
      </c>
      <c r="G43" s="139">
        <f t="shared" si="11"/>
        <v>0</v>
      </c>
      <c r="H43" s="139">
        <f t="shared" si="11"/>
        <v>0</v>
      </c>
      <c r="I43" s="139">
        <f t="shared" si="11"/>
        <v>0</v>
      </c>
      <c r="J43" s="139">
        <f t="shared" si="11"/>
        <v>0</v>
      </c>
      <c r="K43" s="139">
        <f t="shared" si="11"/>
        <v>0</v>
      </c>
      <c r="L43" s="150">
        <f t="shared" si="11"/>
        <v>0</v>
      </c>
      <c r="M43" s="140">
        <f t="shared" si="11"/>
        <v>0</v>
      </c>
    </row>
    <row r="44" spans="1:13" ht="15" thickBot="1" x14ac:dyDescent="0.35">
      <c r="A44" s="191"/>
      <c r="B44" s="92" t="s">
        <v>102</v>
      </c>
      <c r="C44" s="144">
        <f>SUM(D44:M44)</f>
        <v>3227504.0000000014</v>
      </c>
      <c r="D44" s="145">
        <f>SUM(D36:D43)</f>
        <v>1869987.2</v>
      </c>
      <c r="E44" s="146">
        <f t="shared" ref="E44:M44" si="12">SUM(E36:E42)</f>
        <v>150835.20000000001</v>
      </c>
      <c r="F44" s="146">
        <f t="shared" si="12"/>
        <v>150835.20000000001</v>
      </c>
      <c r="G44" s="146">
        <f t="shared" si="12"/>
        <v>150835.20000000001</v>
      </c>
      <c r="H44" s="146">
        <f t="shared" si="12"/>
        <v>150835.20000000001</v>
      </c>
      <c r="I44" s="146">
        <f t="shared" si="12"/>
        <v>150835.20000000001</v>
      </c>
      <c r="J44" s="146">
        <f t="shared" si="12"/>
        <v>150835.20000000001</v>
      </c>
      <c r="K44" s="146">
        <f t="shared" si="12"/>
        <v>150835.20000000001</v>
      </c>
      <c r="L44" s="147">
        <f t="shared" si="12"/>
        <v>150835.20000000001</v>
      </c>
      <c r="M44" s="148">
        <f t="shared" si="12"/>
        <v>150835.20000000001</v>
      </c>
    </row>
  </sheetData>
  <mergeCells count="4">
    <mergeCell ref="D5:M5"/>
    <mergeCell ref="A18:C18"/>
    <mergeCell ref="D20:M20"/>
    <mergeCell ref="A32:C3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77"/>
  <sheetViews>
    <sheetView showGridLines="0" zoomScale="90" zoomScaleNormal="90" workbookViewId="0">
      <pane ySplit="3" topLeftCell="A4" activePane="bottomLeft" state="frozen"/>
      <selection pane="bottomLeft" activeCell="E36" sqref="E36"/>
    </sheetView>
  </sheetViews>
  <sheetFormatPr defaultColWidth="8.88671875" defaultRowHeight="14.4" outlineLevelRow="2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1101" t="s">
        <v>593</v>
      </c>
      <c r="B1" s="1101"/>
      <c r="C1" s="1101"/>
      <c r="D1" s="1102"/>
      <c r="E1" s="70" t="s">
        <v>35</v>
      </c>
    </row>
    <row r="2" spans="1:5" ht="15" collapsed="1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03" t="s">
        <v>79</v>
      </c>
      <c r="B3" s="1104"/>
      <c r="C3" s="1104"/>
      <c r="D3" s="79"/>
      <c r="E3" s="604">
        <f>E4+E25</f>
        <v>315647.99999999994</v>
      </c>
    </row>
    <row r="4" spans="1:5" ht="15" outlineLevel="1" thickBot="1" x14ac:dyDescent="0.35">
      <c r="A4" s="17" t="s">
        <v>104</v>
      </c>
      <c r="B4" s="17"/>
      <c r="C4" s="17"/>
      <c r="D4" s="28"/>
      <c r="E4" s="641">
        <f>SUM(E5:E24)</f>
        <v>0</v>
      </c>
    </row>
    <row r="5" spans="1:5" outlineLevel="2" x14ac:dyDescent="0.3">
      <c r="A5" s="1105" t="s">
        <v>80</v>
      </c>
      <c r="B5" s="1106" t="s">
        <v>81</v>
      </c>
      <c r="C5" s="1105" t="s">
        <v>367</v>
      </c>
      <c r="D5" s="67" t="s">
        <v>25</v>
      </c>
      <c r="E5" s="608">
        <v>0</v>
      </c>
    </row>
    <row r="6" spans="1:5" outlineLevel="2" x14ac:dyDescent="0.3">
      <c r="A6" s="1105"/>
      <c r="B6" s="1106"/>
      <c r="C6" s="1105"/>
      <c r="D6" s="68" t="s">
        <v>26</v>
      </c>
      <c r="E6" s="613">
        <v>0</v>
      </c>
    </row>
    <row r="7" spans="1:5" outlineLevel="2" x14ac:dyDescent="0.3">
      <c r="A7" s="1105"/>
      <c r="B7" s="1106"/>
      <c r="C7" s="1105"/>
      <c r="D7" s="68" t="s">
        <v>27</v>
      </c>
      <c r="E7" s="613">
        <v>0</v>
      </c>
    </row>
    <row r="8" spans="1:5" outlineLevel="2" x14ac:dyDescent="0.3">
      <c r="A8" s="1105"/>
      <c r="B8" s="1106"/>
      <c r="C8" s="1105"/>
      <c r="D8" s="68" t="s">
        <v>28</v>
      </c>
      <c r="E8" s="613">
        <v>0</v>
      </c>
    </row>
    <row r="9" spans="1:5" outlineLevel="2" x14ac:dyDescent="0.3">
      <c r="A9" s="1105"/>
      <c r="B9" s="1106"/>
      <c r="C9" s="1105"/>
      <c r="D9" s="68" t="s">
        <v>29</v>
      </c>
      <c r="E9" s="613">
        <v>0</v>
      </c>
    </row>
    <row r="10" spans="1:5" outlineLevel="2" x14ac:dyDescent="0.3">
      <c r="A10" s="1105"/>
      <c r="B10" s="1106"/>
      <c r="C10" s="1105"/>
      <c r="D10" s="68" t="s">
        <v>30</v>
      </c>
      <c r="E10" s="613">
        <v>0</v>
      </c>
    </row>
    <row r="11" spans="1:5" outlineLevel="2" x14ac:dyDescent="0.3">
      <c r="A11" s="1105"/>
      <c r="B11" s="1106"/>
      <c r="C11" s="1105"/>
      <c r="D11" s="68" t="s">
        <v>31</v>
      </c>
      <c r="E11" s="613">
        <v>0</v>
      </c>
    </row>
    <row r="12" spans="1:5" outlineLevel="2" x14ac:dyDescent="0.3">
      <c r="A12" s="1105"/>
      <c r="B12" s="1106"/>
      <c r="C12" s="1105"/>
      <c r="D12" s="68" t="s">
        <v>32</v>
      </c>
      <c r="E12" s="613">
        <v>0</v>
      </c>
    </row>
    <row r="13" spans="1:5" outlineLevel="2" x14ac:dyDescent="0.3">
      <c r="A13" s="1105"/>
      <c r="B13" s="1106"/>
      <c r="C13" s="1105"/>
      <c r="D13" s="68" t="s">
        <v>33</v>
      </c>
      <c r="E13" s="613">
        <v>0</v>
      </c>
    </row>
    <row r="14" spans="1:5" ht="15" outlineLevel="2" thickBot="1" x14ac:dyDescent="0.35">
      <c r="A14" s="1105"/>
      <c r="B14" s="1106"/>
      <c r="C14" s="1105"/>
      <c r="D14" s="69" t="s">
        <v>34</v>
      </c>
      <c r="E14" s="622">
        <v>0</v>
      </c>
    </row>
    <row r="15" spans="1:5" outlineLevel="2" x14ac:dyDescent="0.3">
      <c r="A15" s="1105" t="s">
        <v>82</v>
      </c>
      <c r="B15" s="1106" t="s">
        <v>73</v>
      </c>
      <c r="C15" s="1105" t="s">
        <v>368</v>
      </c>
      <c r="D15" s="67" t="s">
        <v>25</v>
      </c>
      <c r="E15" s="613">
        <v>0</v>
      </c>
    </row>
    <row r="16" spans="1:5" outlineLevel="2" x14ac:dyDescent="0.3">
      <c r="A16" s="1105"/>
      <c r="B16" s="1106"/>
      <c r="C16" s="1105"/>
      <c r="D16" s="68" t="s">
        <v>26</v>
      </c>
      <c r="E16" s="613">
        <v>0</v>
      </c>
    </row>
    <row r="17" spans="1:5" outlineLevel="2" x14ac:dyDescent="0.3">
      <c r="A17" s="1105"/>
      <c r="B17" s="1106"/>
      <c r="C17" s="1105"/>
      <c r="D17" s="68" t="s">
        <v>27</v>
      </c>
      <c r="E17" s="613">
        <v>0</v>
      </c>
    </row>
    <row r="18" spans="1:5" outlineLevel="2" x14ac:dyDescent="0.3">
      <c r="A18" s="1105"/>
      <c r="B18" s="1106"/>
      <c r="C18" s="1105"/>
      <c r="D18" s="68" t="s">
        <v>28</v>
      </c>
      <c r="E18" s="613">
        <v>0</v>
      </c>
    </row>
    <row r="19" spans="1:5" outlineLevel="2" x14ac:dyDescent="0.3">
      <c r="A19" s="1105"/>
      <c r="B19" s="1106"/>
      <c r="C19" s="1105"/>
      <c r="D19" s="68" t="s">
        <v>29</v>
      </c>
      <c r="E19" s="613">
        <v>0</v>
      </c>
    </row>
    <row r="20" spans="1:5" outlineLevel="2" x14ac:dyDescent="0.3">
      <c r="A20" s="1105"/>
      <c r="B20" s="1106"/>
      <c r="C20" s="1105"/>
      <c r="D20" s="68" t="s">
        <v>30</v>
      </c>
      <c r="E20" s="613">
        <v>0</v>
      </c>
    </row>
    <row r="21" spans="1:5" outlineLevel="2" x14ac:dyDescent="0.3">
      <c r="A21" s="1105"/>
      <c r="B21" s="1106"/>
      <c r="C21" s="1105"/>
      <c r="D21" s="68" t="s">
        <v>31</v>
      </c>
      <c r="E21" s="613">
        <v>0</v>
      </c>
    </row>
    <row r="22" spans="1:5" outlineLevel="2" x14ac:dyDescent="0.3">
      <c r="A22" s="1105"/>
      <c r="B22" s="1106"/>
      <c r="C22" s="1105"/>
      <c r="D22" s="68" t="s">
        <v>32</v>
      </c>
      <c r="E22" s="613">
        <v>0</v>
      </c>
    </row>
    <row r="23" spans="1:5" outlineLevel="2" x14ac:dyDescent="0.3">
      <c r="A23" s="1105"/>
      <c r="B23" s="1106"/>
      <c r="C23" s="1105"/>
      <c r="D23" s="68" t="s">
        <v>33</v>
      </c>
      <c r="E23" s="613">
        <v>0</v>
      </c>
    </row>
    <row r="24" spans="1:5" ht="15" outlineLevel="2" thickBot="1" x14ac:dyDescent="0.35">
      <c r="A24" s="1105"/>
      <c r="B24" s="1106"/>
      <c r="C24" s="1105"/>
      <c r="D24" s="69" t="s">
        <v>34</v>
      </c>
      <c r="E24" s="622">
        <v>0</v>
      </c>
    </row>
    <row r="25" spans="1:5" ht="15" outlineLevel="1" thickBot="1" x14ac:dyDescent="0.35">
      <c r="A25" s="17" t="s">
        <v>105</v>
      </c>
      <c r="B25" s="17"/>
      <c r="C25" s="17"/>
      <c r="D25" s="28"/>
      <c r="E25" s="645">
        <f>SUM(E26:E75)</f>
        <v>315647.99999999994</v>
      </c>
    </row>
    <row r="26" spans="1:5" outlineLevel="2" x14ac:dyDescent="0.3">
      <c r="A26" s="1105" t="s">
        <v>83</v>
      </c>
      <c r="B26" s="1106" t="s">
        <v>81</v>
      </c>
      <c r="C26" s="1105" t="s">
        <v>367</v>
      </c>
      <c r="D26" s="67" t="s">
        <v>25</v>
      </c>
      <c r="E26" s="626">
        <v>0</v>
      </c>
    </row>
    <row r="27" spans="1:5" outlineLevel="2" x14ac:dyDescent="0.3">
      <c r="A27" s="1105"/>
      <c r="B27" s="1106"/>
      <c r="C27" s="1105"/>
      <c r="D27" s="68" t="s">
        <v>26</v>
      </c>
      <c r="E27" s="631">
        <v>0</v>
      </c>
    </row>
    <row r="28" spans="1:5" outlineLevel="2" x14ac:dyDescent="0.3">
      <c r="A28" s="1105"/>
      <c r="B28" s="1106"/>
      <c r="C28" s="1105"/>
      <c r="D28" s="68" t="s">
        <v>27</v>
      </c>
      <c r="E28" s="631">
        <v>0</v>
      </c>
    </row>
    <row r="29" spans="1:5" outlineLevel="2" x14ac:dyDescent="0.3">
      <c r="A29" s="1105"/>
      <c r="B29" s="1106"/>
      <c r="C29" s="1105"/>
      <c r="D29" s="68" t="s">
        <v>28</v>
      </c>
      <c r="E29" s="631">
        <v>0</v>
      </c>
    </row>
    <row r="30" spans="1:5" outlineLevel="2" x14ac:dyDescent="0.3">
      <c r="A30" s="1105"/>
      <c r="B30" s="1106"/>
      <c r="C30" s="1105"/>
      <c r="D30" s="68" t="s">
        <v>29</v>
      </c>
      <c r="E30" s="631">
        <v>0</v>
      </c>
    </row>
    <row r="31" spans="1:5" outlineLevel="2" x14ac:dyDescent="0.3">
      <c r="A31" s="1105"/>
      <c r="B31" s="1106"/>
      <c r="C31" s="1105"/>
      <c r="D31" s="68" t="s">
        <v>30</v>
      </c>
      <c r="E31" s="631">
        <v>0</v>
      </c>
    </row>
    <row r="32" spans="1:5" outlineLevel="2" x14ac:dyDescent="0.3">
      <c r="A32" s="1105"/>
      <c r="B32" s="1106"/>
      <c r="C32" s="1105"/>
      <c r="D32" s="68" t="s">
        <v>31</v>
      </c>
      <c r="E32" s="631">
        <v>0</v>
      </c>
    </row>
    <row r="33" spans="1:5" outlineLevel="2" x14ac:dyDescent="0.3">
      <c r="A33" s="1105"/>
      <c r="B33" s="1106"/>
      <c r="C33" s="1105"/>
      <c r="D33" s="68" t="s">
        <v>32</v>
      </c>
      <c r="E33" s="631">
        <v>0</v>
      </c>
    </row>
    <row r="34" spans="1:5" outlineLevel="2" x14ac:dyDescent="0.3">
      <c r="A34" s="1105"/>
      <c r="B34" s="1106"/>
      <c r="C34" s="1105"/>
      <c r="D34" s="68" t="s">
        <v>33</v>
      </c>
      <c r="E34" s="631">
        <v>0</v>
      </c>
    </row>
    <row r="35" spans="1:5" ht="15" outlineLevel="2" thickBot="1" x14ac:dyDescent="0.35">
      <c r="A35" s="1105"/>
      <c r="B35" s="1106"/>
      <c r="C35" s="1105"/>
      <c r="D35" s="69" t="s">
        <v>34</v>
      </c>
      <c r="E35" s="636">
        <v>0</v>
      </c>
    </row>
    <row r="36" spans="1:5" outlineLevel="2" x14ac:dyDescent="0.3">
      <c r="A36" s="1105" t="s">
        <v>84</v>
      </c>
      <c r="B36" s="1106" t="s">
        <v>78</v>
      </c>
      <c r="C36" s="1105" t="s">
        <v>369</v>
      </c>
      <c r="D36" s="67" t="s">
        <v>25</v>
      </c>
      <c r="E36" s="631">
        <f>(1+Faktory!$D$16)*26304</f>
        <v>31564.799999999999</v>
      </c>
    </row>
    <row r="37" spans="1:5" outlineLevel="2" x14ac:dyDescent="0.3">
      <c r="A37" s="1105"/>
      <c r="B37" s="1106"/>
      <c r="C37" s="1105"/>
      <c r="D37" s="68" t="s">
        <v>26</v>
      </c>
      <c r="E37" s="631">
        <f>E36</f>
        <v>31564.799999999999</v>
      </c>
    </row>
    <row r="38" spans="1:5" outlineLevel="2" x14ac:dyDescent="0.3">
      <c r="A38" s="1105"/>
      <c r="B38" s="1106"/>
      <c r="C38" s="1105"/>
      <c r="D38" s="68" t="s">
        <v>27</v>
      </c>
      <c r="E38" s="631">
        <f t="shared" ref="E38:E45" si="0">E37</f>
        <v>31564.799999999999</v>
      </c>
    </row>
    <row r="39" spans="1:5" outlineLevel="2" x14ac:dyDescent="0.3">
      <c r="A39" s="1105"/>
      <c r="B39" s="1106"/>
      <c r="C39" s="1105"/>
      <c r="D39" s="68" t="s">
        <v>28</v>
      </c>
      <c r="E39" s="631">
        <f t="shared" si="0"/>
        <v>31564.799999999999</v>
      </c>
    </row>
    <row r="40" spans="1:5" outlineLevel="2" x14ac:dyDescent="0.3">
      <c r="A40" s="1105"/>
      <c r="B40" s="1106"/>
      <c r="C40" s="1105"/>
      <c r="D40" s="68" t="s">
        <v>29</v>
      </c>
      <c r="E40" s="631">
        <f t="shared" si="0"/>
        <v>31564.799999999999</v>
      </c>
    </row>
    <row r="41" spans="1:5" outlineLevel="2" x14ac:dyDescent="0.3">
      <c r="A41" s="1105"/>
      <c r="B41" s="1106"/>
      <c r="C41" s="1105"/>
      <c r="D41" s="68" t="s">
        <v>30</v>
      </c>
      <c r="E41" s="631">
        <f t="shared" si="0"/>
        <v>31564.799999999999</v>
      </c>
    </row>
    <row r="42" spans="1:5" outlineLevel="2" x14ac:dyDescent="0.3">
      <c r="A42" s="1105"/>
      <c r="B42" s="1106"/>
      <c r="C42" s="1105"/>
      <c r="D42" s="68" t="s">
        <v>31</v>
      </c>
      <c r="E42" s="631">
        <f t="shared" si="0"/>
        <v>31564.799999999999</v>
      </c>
    </row>
    <row r="43" spans="1:5" outlineLevel="2" x14ac:dyDescent="0.3">
      <c r="A43" s="1105"/>
      <c r="B43" s="1106"/>
      <c r="C43" s="1105"/>
      <c r="D43" s="68" t="s">
        <v>32</v>
      </c>
      <c r="E43" s="631">
        <f t="shared" si="0"/>
        <v>31564.799999999999</v>
      </c>
    </row>
    <row r="44" spans="1:5" outlineLevel="2" x14ac:dyDescent="0.3">
      <c r="A44" s="1105"/>
      <c r="B44" s="1106"/>
      <c r="C44" s="1105"/>
      <c r="D44" s="68" t="s">
        <v>33</v>
      </c>
      <c r="E44" s="631">
        <f t="shared" si="0"/>
        <v>31564.799999999999</v>
      </c>
    </row>
    <row r="45" spans="1:5" ht="15" outlineLevel="2" thickBot="1" x14ac:dyDescent="0.35">
      <c r="A45" s="1105"/>
      <c r="B45" s="1106"/>
      <c r="C45" s="1105"/>
      <c r="D45" s="69" t="s">
        <v>34</v>
      </c>
      <c r="E45" s="636">
        <f t="shared" si="0"/>
        <v>31564.799999999999</v>
      </c>
    </row>
    <row r="46" spans="1:5" outlineLevel="2" x14ac:dyDescent="0.3">
      <c r="A46" s="1105" t="s">
        <v>85</v>
      </c>
      <c r="B46" s="1106" t="s">
        <v>73</v>
      </c>
      <c r="C46" s="1105" t="s">
        <v>368</v>
      </c>
      <c r="D46" s="67" t="s">
        <v>25</v>
      </c>
      <c r="E46" s="631">
        <v>0</v>
      </c>
    </row>
    <row r="47" spans="1:5" outlineLevel="2" x14ac:dyDescent="0.3">
      <c r="A47" s="1105"/>
      <c r="B47" s="1106"/>
      <c r="C47" s="1105"/>
      <c r="D47" s="68" t="s">
        <v>26</v>
      </c>
      <c r="E47" s="631">
        <v>0</v>
      </c>
    </row>
    <row r="48" spans="1:5" outlineLevel="2" x14ac:dyDescent="0.3">
      <c r="A48" s="1105"/>
      <c r="B48" s="1106"/>
      <c r="C48" s="1105"/>
      <c r="D48" s="68" t="s">
        <v>27</v>
      </c>
      <c r="E48" s="631">
        <v>0</v>
      </c>
    </row>
    <row r="49" spans="1:5" outlineLevel="2" x14ac:dyDescent="0.3">
      <c r="A49" s="1105"/>
      <c r="B49" s="1106"/>
      <c r="C49" s="1105"/>
      <c r="D49" s="68" t="s">
        <v>28</v>
      </c>
      <c r="E49" s="631">
        <v>0</v>
      </c>
    </row>
    <row r="50" spans="1:5" outlineLevel="2" x14ac:dyDescent="0.3">
      <c r="A50" s="1105"/>
      <c r="B50" s="1106"/>
      <c r="C50" s="1105"/>
      <c r="D50" s="68" t="s">
        <v>29</v>
      </c>
      <c r="E50" s="631">
        <v>0</v>
      </c>
    </row>
    <row r="51" spans="1:5" outlineLevel="2" x14ac:dyDescent="0.3">
      <c r="A51" s="1105"/>
      <c r="B51" s="1106"/>
      <c r="C51" s="1105"/>
      <c r="D51" s="68" t="s">
        <v>30</v>
      </c>
      <c r="E51" s="631">
        <v>0</v>
      </c>
    </row>
    <row r="52" spans="1:5" outlineLevel="2" x14ac:dyDescent="0.3">
      <c r="A52" s="1105"/>
      <c r="B52" s="1106"/>
      <c r="C52" s="1105"/>
      <c r="D52" s="68" t="s">
        <v>31</v>
      </c>
      <c r="E52" s="631">
        <v>0</v>
      </c>
    </row>
    <row r="53" spans="1:5" outlineLevel="2" x14ac:dyDescent="0.3">
      <c r="A53" s="1105"/>
      <c r="B53" s="1106"/>
      <c r="C53" s="1105"/>
      <c r="D53" s="68" t="s">
        <v>32</v>
      </c>
      <c r="E53" s="631">
        <v>0</v>
      </c>
    </row>
    <row r="54" spans="1:5" outlineLevel="2" x14ac:dyDescent="0.3">
      <c r="A54" s="1105"/>
      <c r="B54" s="1106"/>
      <c r="C54" s="1105"/>
      <c r="D54" s="68" t="s">
        <v>33</v>
      </c>
      <c r="E54" s="631">
        <v>0</v>
      </c>
    </row>
    <row r="55" spans="1:5" ht="15" outlineLevel="2" thickBot="1" x14ac:dyDescent="0.35">
      <c r="A55" s="1105"/>
      <c r="B55" s="1106"/>
      <c r="C55" s="1105"/>
      <c r="D55" s="69" t="s">
        <v>34</v>
      </c>
      <c r="E55" s="636">
        <v>0</v>
      </c>
    </row>
    <row r="56" spans="1:5" outlineLevel="2" x14ac:dyDescent="0.3">
      <c r="A56" s="1105" t="s">
        <v>86</v>
      </c>
      <c r="B56" s="1106" t="s">
        <v>87</v>
      </c>
      <c r="C56" s="1106"/>
      <c r="D56" s="67" t="s">
        <v>25</v>
      </c>
      <c r="E56" s="631">
        <v>0</v>
      </c>
    </row>
    <row r="57" spans="1:5" outlineLevel="2" x14ac:dyDescent="0.3">
      <c r="A57" s="1105"/>
      <c r="B57" s="1106"/>
      <c r="C57" s="1106"/>
      <c r="D57" s="68" t="s">
        <v>26</v>
      </c>
      <c r="E57" s="631">
        <v>0</v>
      </c>
    </row>
    <row r="58" spans="1:5" outlineLevel="2" x14ac:dyDescent="0.3">
      <c r="A58" s="1105"/>
      <c r="B58" s="1106"/>
      <c r="C58" s="1106"/>
      <c r="D58" s="68" t="s">
        <v>27</v>
      </c>
      <c r="E58" s="631">
        <v>0</v>
      </c>
    </row>
    <row r="59" spans="1:5" outlineLevel="2" x14ac:dyDescent="0.3">
      <c r="A59" s="1105"/>
      <c r="B59" s="1106"/>
      <c r="C59" s="1106"/>
      <c r="D59" s="68" t="s">
        <v>28</v>
      </c>
      <c r="E59" s="631">
        <v>0</v>
      </c>
    </row>
    <row r="60" spans="1:5" outlineLevel="2" x14ac:dyDescent="0.3">
      <c r="A60" s="1105"/>
      <c r="B60" s="1106"/>
      <c r="C60" s="1106"/>
      <c r="D60" s="68" t="s">
        <v>29</v>
      </c>
      <c r="E60" s="631">
        <v>0</v>
      </c>
    </row>
    <row r="61" spans="1:5" outlineLevel="2" x14ac:dyDescent="0.3">
      <c r="A61" s="1105"/>
      <c r="B61" s="1106"/>
      <c r="C61" s="1106"/>
      <c r="D61" s="68" t="s">
        <v>30</v>
      </c>
      <c r="E61" s="631">
        <v>0</v>
      </c>
    </row>
    <row r="62" spans="1:5" outlineLevel="2" x14ac:dyDescent="0.3">
      <c r="A62" s="1105"/>
      <c r="B62" s="1106"/>
      <c r="C62" s="1106"/>
      <c r="D62" s="68" t="s">
        <v>31</v>
      </c>
      <c r="E62" s="631">
        <v>0</v>
      </c>
    </row>
    <row r="63" spans="1:5" outlineLevel="2" x14ac:dyDescent="0.3">
      <c r="A63" s="1105"/>
      <c r="B63" s="1106"/>
      <c r="C63" s="1106"/>
      <c r="D63" s="68" t="s">
        <v>32</v>
      </c>
      <c r="E63" s="631">
        <v>0</v>
      </c>
    </row>
    <row r="64" spans="1:5" outlineLevel="2" x14ac:dyDescent="0.3">
      <c r="A64" s="1105"/>
      <c r="B64" s="1106"/>
      <c r="C64" s="1106"/>
      <c r="D64" s="68" t="s">
        <v>33</v>
      </c>
      <c r="E64" s="631">
        <v>0</v>
      </c>
    </row>
    <row r="65" spans="1:5" ht="15" outlineLevel="2" thickBot="1" x14ac:dyDescent="0.35">
      <c r="A65" s="1105"/>
      <c r="B65" s="1106"/>
      <c r="C65" s="1106"/>
      <c r="D65" s="69" t="s">
        <v>34</v>
      </c>
      <c r="E65" s="636">
        <v>0</v>
      </c>
    </row>
    <row r="66" spans="1:5" outlineLevel="2" x14ac:dyDescent="0.3">
      <c r="A66" s="1105" t="s">
        <v>77</v>
      </c>
      <c r="B66" s="1106" t="s">
        <v>78</v>
      </c>
      <c r="C66" s="1105" t="s">
        <v>366</v>
      </c>
      <c r="D66" s="67" t="s">
        <v>25</v>
      </c>
      <c r="E66" s="631">
        <v>0</v>
      </c>
    </row>
    <row r="67" spans="1:5" outlineLevel="2" x14ac:dyDescent="0.3">
      <c r="A67" s="1105"/>
      <c r="B67" s="1106"/>
      <c r="C67" s="1105"/>
      <c r="D67" s="68" t="s">
        <v>26</v>
      </c>
      <c r="E67" s="631">
        <v>0</v>
      </c>
    </row>
    <row r="68" spans="1:5" outlineLevel="2" x14ac:dyDescent="0.3">
      <c r="A68" s="1105"/>
      <c r="B68" s="1106"/>
      <c r="C68" s="1105"/>
      <c r="D68" s="68" t="s">
        <v>27</v>
      </c>
      <c r="E68" s="631">
        <v>0</v>
      </c>
    </row>
    <row r="69" spans="1:5" outlineLevel="2" x14ac:dyDescent="0.3">
      <c r="A69" s="1105"/>
      <c r="B69" s="1106"/>
      <c r="C69" s="1105"/>
      <c r="D69" s="68" t="s">
        <v>28</v>
      </c>
      <c r="E69" s="631">
        <v>0</v>
      </c>
    </row>
    <row r="70" spans="1:5" outlineLevel="2" x14ac:dyDescent="0.3">
      <c r="A70" s="1105"/>
      <c r="B70" s="1106"/>
      <c r="C70" s="1105"/>
      <c r="D70" s="68" t="s">
        <v>29</v>
      </c>
      <c r="E70" s="631">
        <v>0</v>
      </c>
    </row>
    <row r="71" spans="1:5" outlineLevel="2" x14ac:dyDescent="0.3">
      <c r="A71" s="1105"/>
      <c r="B71" s="1106"/>
      <c r="C71" s="1105"/>
      <c r="D71" s="68" t="s">
        <v>30</v>
      </c>
      <c r="E71" s="631">
        <v>0</v>
      </c>
    </row>
    <row r="72" spans="1:5" outlineLevel="2" x14ac:dyDescent="0.3">
      <c r="A72" s="1105"/>
      <c r="B72" s="1106"/>
      <c r="C72" s="1105"/>
      <c r="D72" s="68" t="s">
        <v>31</v>
      </c>
      <c r="E72" s="631">
        <v>0</v>
      </c>
    </row>
    <row r="73" spans="1:5" outlineLevel="2" x14ac:dyDescent="0.3">
      <c r="A73" s="1105"/>
      <c r="B73" s="1106"/>
      <c r="C73" s="1105"/>
      <c r="D73" s="68" t="s">
        <v>32</v>
      </c>
      <c r="E73" s="631">
        <v>0</v>
      </c>
    </row>
    <row r="74" spans="1:5" outlineLevel="2" x14ac:dyDescent="0.3">
      <c r="A74" s="1105"/>
      <c r="B74" s="1106"/>
      <c r="C74" s="1105"/>
      <c r="D74" s="68" t="s">
        <v>33</v>
      </c>
      <c r="E74" s="631">
        <v>0</v>
      </c>
    </row>
    <row r="75" spans="1:5" ht="15" outlineLevel="2" thickBot="1" x14ac:dyDescent="0.35">
      <c r="A75" s="1105"/>
      <c r="B75" s="1106"/>
      <c r="C75" s="1105"/>
      <c r="D75" s="69" t="s">
        <v>34</v>
      </c>
      <c r="E75" s="636">
        <v>0</v>
      </c>
    </row>
    <row r="77" spans="1:5" ht="30.6" customHeight="1" x14ac:dyDescent="0.3">
      <c r="A77" s="1107" t="s">
        <v>395</v>
      </c>
      <c r="B77" s="1107"/>
      <c r="C77" s="1107"/>
      <c r="D77" s="1107"/>
      <c r="E77" s="1107"/>
    </row>
  </sheetData>
  <mergeCells count="24">
    <mergeCell ref="A77:E77"/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55"/>
  <sheetViews>
    <sheetView zoomScale="85" zoomScaleNormal="85" workbookViewId="0">
      <selection sqref="A1:D1"/>
    </sheetView>
  </sheetViews>
  <sheetFormatPr defaultColWidth="8.88671875" defaultRowHeight="14.4" outlineLevelRow="1" x14ac:dyDescent="0.3"/>
  <cols>
    <col min="1" max="1" width="22.44140625" customWidth="1"/>
    <col min="2" max="2" width="18.44140625" customWidth="1"/>
    <col min="3" max="3" width="16.88671875" customWidth="1"/>
    <col min="5" max="5" width="17.88671875" customWidth="1"/>
  </cols>
  <sheetData>
    <row r="1" spans="1:5" ht="25.35" customHeight="1" thickBot="1" x14ac:dyDescent="0.45">
      <c r="A1" s="1101" t="s">
        <v>592</v>
      </c>
      <c r="B1" s="1101"/>
      <c r="C1" s="1101"/>
      <c r="D1" s="1102"/>
      <c r="E1" s="70" t="s">
        <v>35</v>
      </c>
    </row>
    <row r="2" spans="1:5" ht="27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08" t="s">
        <v>89</v>
      </c>
      <c r="B3" s="1108"/>
      <c r="C3" s="1108"/>
      <c r="D3" s="76"/>
      <c r="E3" s="604">
        <f>SUM(E4:E53)</f>
        <v>0</v>
      </c>
    </row>
    <row r="4" spans="1:5" outlineLevel="1" x14ac:dyDescent="0.3">
      <c r="A4" s="1105" t="s">
        <v>94</v>
      </c>
      <c r="B4" s="1106" t="s">
        <v>81</v>
      </c>
      <c r="C4" s="1105" t="s">
        <v>387</v>
      </c>
      <c r="D4" s="67" t="s">
        <v>25</v>
      </c>
      <c r="E4" s="626">
        <v>0</v>
      </c>
    </row>
    <row r="5" spans="1:5" outlineLevel="1" x14ac:dyDescent="0.3">
      <c r="A5" s="1105"/>
      <c r="B5" s="1106"/>
      <c r="C5" s="1105"/>
      <c r="D5" s="68" t="s">
        <v>26</v>
      </c>
      <c r="E5" s="631">
        <v>0</v>
      </c>
    </row>
    <row r="6" spans="1:5" outlineLevel="1" x14ac:dyDescent="0.3">
      <c r="A6" s="1105"/>
      <c r="B6" s="1106"/>
      <c r="C6" s="1105"/>
      <c r="D6" s="68" t="s">
        <v>27</v>
      </c>
      <c r="E6" s="631">
        <v>0</v>
      </c>
    </row>
    <row r="7" spans="1:5" outlineLevel="1" x14ac:dyDescent="0.3">
      <c r="A7" s="1105"/>
      <c r="B7" s="1106"/>
      <c r="C7" s="1105"/>
      <c r="D7" s="68" t="s">
        <v>28</v>
      </c>
      <c r="E7" s="631">
        <v>0</v>
      </c>
    </row>
    <row r="8" spans="1:5" outlineLevel="1" x14ac:dyDescent="0.3">
      <c r="A8" s="1105"/>
      <c r="B8" s="1106"/>
      <c r="C8" s="1105"/>
      <c r="D8" s="68" t="s">
        <v>29</v>
      </c>
      <c r="E8" s="631">
        <v>0</v>
      </c>
    </row>
    <row r="9" spans="1:5" outlineLevel="1" x14ac:dyDescent="0.3">
      <c r="A9" s="1105"/>
      <c r="B9" s="1106"/>
      <c r="C9" s="1105"/>
      <c r="D9" s="68" t="s">
        <v>30</v>
      </c>
      <c r="E9" s="631">
        <v>0</v>
      </c>
    </row>
    <row r="10" spans="1:5" outlineLevel="1" x14ac:dyDescent="0.3">
      <c r="A10" s="1105"/>
      <c r="B10" s="1106"/>
      <c r="C10" s="1105"/>
      <c r="D10" s="68" t="s">
        <v>31</v>
      </c>
      <c r="E10" s="631">
        <v>0</v>
      </c>
    </row>
    <row r="11" spans="1:5" outlineLevel="1" x14ac:dyDescent="0.3">
      <c r="A11" s="1105"/>
      <c r="B11" s="1106"/>
      <c r="C11" s="1105"/>
      <c r="D11" s="68" t="s">
        <v>32</v>
      </c>
      <c r="E11" s="631">
        <v>0</v>
      </c>
    </row>
    <row r="12" spans="1:5" outlineLevel="1" x14ac:dyDescent="0.3">
      <c r="A12" s="1105"/>
      <c r="B12" s="1106"/>
      <c r="C12" s="1105"/>
      <c r="D12" s="68" t="s">
        <v>33</v>
      </c>
      <c r="E12" s="631">
        <v>0</v>
      </c>
    </row>
    <row r="13" spans="1:5" ht="15" outlineLevel="1" thickBot="1" x14ac:dyDescent="0.35">
      <c r="A13" s="1105"/>
      <c r="B13" s="1106"/>
      <c r="C13" s="1105"/>
      <c r="D13" s="69" t="s">
        <v>34</v>
      </c>
      <c r="E13" s="636">
        <v>0</v>
      </c>
    </row>
    <row r="14" spans="1:5" outlineLevel="1" x14ac:dyDescent="0.3">
      <c r="A14" s="1105" t="s">
        <v>95</v>
      </c>
      <c r="B14" s="1105" t="s">
        <v>93</v>
      </c>
      <c r="C14" s="1105" t="s">
        <v>388</v>
      </c>
      <c r="D14" s="67" t="s">
        <v>25</v>
      </c>
      <c r="E14" s="631">
        <v>0</v>
      </c>
    </row>
    <row r="15" spans="1:5" outlineLevel="1" x14ac:dyDescent="0.3">
      <c r="A15" s="1105"/>
      <c r="B15" s="1106"/>
      <c r="C15" s="1105"/>
      <c r="D15" s="68" t="s">
        <v>26</v>
      </c>
      <c r="E15" s="631">
        <v>0</v>
      </c>
    </row>
    <row r="16" spans="1:5" outlineLevel="1" x14ac:dyDescent="0.3">
      <c r="A16" s="1105"/>
      <c r="B16" s="1106"/>
      <c r="C16" s="1105"/>
      <c r="D16" s="68" t="s">
        <v>27</v>
      </c>
      <c r="E16" s="631">
        <v>0</v>
      </c>
    </row>
    <row r="17" spans="1:5" outlineLevel="1" x14ac:dyDescent="0.3">
      <c r="A17" s="1105"/>
      <c r="B17" s="1106"/>
      <c r="C17" s="1105"/>
      <c r="D17" s="68" t="s">
        <v>28</v>
      </c>
      <c r="E17" s="631">
        <v>0</v>
      </c>
    </row>
    <row r="18" spans="1:5" outlineLevel="1" x14ac:dyDescent="0.3">
      <c r="A18" s="1105"/>
      <c r="B18" s="1106"/>
      <c r="C18" s="1105"/>
      <c r="D18" s="68" t="s">
        <v>29</v>
      </c>
      <c r="E18" s="631">
        <v>0</v>
      </c>
    </row>
    <row r="19" spans="1:5" outlineLevel="1" x14ac:dyDescent="0.3">
      <c r="A19" s="1105"/>
      <c r="B19" s="1106"/>
      <c r="C19" s="1105"/>
      <c r="D19" s="68" t="s">
        <v>30</v>
      </c>
      <c r="E19" s="631">
        <v>0</v>
      </c>
    </row>
    <row r="20" spans="1:5" outlineLevel="1" x14ac:dyDescent="0.3">
      <c r="A20" s="1105"/>
      <c r="B20" s="1106"/>
      <c r="C20" s="1105"/>
      <c r="D20" s="68" t="s">
        <v>31</v>
      </c>
      <c r="E20" s="631">
        <v>0</v>
      </c>
    </row>
    <row r="21" spans="1:5" outlineLevel="1" x14ac:dyDescent="0.3">
      <c r="A21" s="1105"/>
      <c r="B21" s="1106"/>
      <c r="C21" s="1105"/>
      <c r="D21" s="68" t="s">
        <v>32</v>
      </c>
      <c r="E21" s="631">
        <v>0</v>
      </c>
    </row>
    <row r="22" spans="1:5" outlineLevel="1" x14ac:dyDescent="0.3">
      <c r="A22" s="1105"/>
      <c r="B22" s="1106"/>
      <c r="C22" s="1105"/>
      <c r="D22" s="68" t="s">
        <v>33</v>
      </c>
      <c r="E22" s="631">
        <v>0</v>
      </c>
    </row>
    <row r="23" spans="1:5" ht="15" outlineLevel="1" thickBot="1" x14ac:dyDescent="0.35">
      <c r="A23" s="1105"/>
      <c r="B23" s="1106"/>
      <c r="C23" s="1105"/>
      <c r="D23" s="69" t="s">
        <v>34</v>
      </c>
      <c r="E23" s="636">
        <v>0</v>
      </c>
    </row>
    <row r="24" spans="1:5" outlineLevel="1" x14ac:dyDescent="0.3">
      <c r="A24" s="1105" t="s">
        <v>96</v>
      </c>
      <c r="B24" s="1106"/>
      <c r="C24" s="1106"/>
      <c r="D24" s="67" t="s">
        <v>25</v>
      </c>
      <c r="E24" s="631">
        <v>0</v>
      </c>
    </row>
    <row r="25" spans="1:5" outlineLevel="1" x14ac:dyDescent="0.3">
      <c r="A25" s="1105"/>
      <c r="B25" s="1106"/>
      <c r="C25" s="1106"/>
      <c r="D25" s="68" t="s">
        <v>26</v>
      </c>
      <c r="E25" s="631">
        <v>0</v>
      </c>
    </row>
    <row r="26" spans="1:5" outlineLevel="1" x14ac:dyDescent="0.3">
      <c r="A26" s="1105"/>
      <c r="B26" s="1106"/>
      <c r="C26" s="1106"/>
      <c r="D26" s="68" t="s">
        <v>27</v>
      </c>
      <c r="E26" s="631">
        <v>0</v>
      </c>
    </row>
    <row r="27" spans="1:5" outlineLevel="1" x14ac:dyDescent="0.3">
      <c r="A27" s="1105"/>
      <c r="B27" s="1106"/>
      <c r="C27" s="1106"/>
      <c r="D27" s="68" t="s">
        <v>28</v>
      </c>
      <c r="E27" s="631">
        <v>0</v>
      </c>
    </row>
    <row r="28" spans="1:5" outlineLevel="1" x14ac:dyDescent="0.3">
      <c r="A28" s="1105"/>
      <c r="B28" s="1106"/>
      <c r="C28" s="1106"/>
      <c r="D28" s="68" t="s">
        <v>29</v>
      </c>
      <c r="E28" s="631">
        <v>0</v>
      </c>
    </row>
    <row r="29" spans="1:5" outlineLevel="1" x14ac:dyDescent="0.3">
      <c r="A29" s="1105"/>
      <c r="B29" s="1106"/>
      <c r="C29" s="1106"/>
      <c r="D29" s="68" t="s">
        <v>30</v>
      </c>
      <c r="E29" s="631">
        <v>0</v>
      </c>
    </row>
    <row r="30" spans="1:5" outlineLevel="1" x14ac:dyDescent="0.3">
      <c r="A30" s="1105"/>
      <c r="B30" s="1106"/>
      <c r="C30" s="1106"/>
      <c r="D30" s="68" t="s">
        <v>31</v>
      </c>
      <c r="E30" s="631">
        <v>0</v>
      </c>
    </row>
    <row r="31" spans="1:5" outlineLevel="1" x14ac:dyDescent="0.3">
      <c r="A31" s="1105"/>
      <c r="B31" s="1106"/>
      <c r="C31" s="1106"/>
      <c r="D31" s="68" t="s">
        <v>32</v>
      </c>
      <c r="E31" s="631">
        <v>0</v>
      </c>
    </row>
    <row r="32" spans="1:5" outlineLevel="1" x14ac:dyDescent="0.3">
      <c r="A32" s="1105"/>
      <c r="B32" s="1106"/>
      <c r="C32" s="1106"/>
      <c r="D32" s="68" t="s">
        <v>33</v>
      </c>
      <c r="E32" s="631">
        <v>0</v>
      </c>
    </row>
    <row r="33" spans="1:5" ht="15" outlineLevel="1" thickBot="1" x14ac:dyDescent="0.35">
      <c r="A33" s="1105"/>
      <c r="B33" s="1106"/>
      <c r="C33" s="1106"/>
      <c r="D33" s="69" t="s">
        <v>34</v>
      </c>
      <c r="E33" s="636">
        <v>0</v>
      </c>
    </row>
    <row r="34" spans="1:5" outlineLevel="1" x14ac:dyDescent="0.3">
      <c r="A34" s="1105" t="s">
        <v>97</v>
      </c>
      <c r="B34" s="1106"/>
      <c r="C34" s="1106"/>
      <c r="D34" s="67" t="s">
        <v>25</v>
      </c>
      <c r="E34" s="631">
        <v>0</v>
      </c>
    </row>
    <row r="35" spans="1:5" outlineLevel="1" x14ac:dyDescent="0.3">
      <c r="A35" s="1105"/>
      <c r="B35" s="1106"/>
      <c r="C35" s="1106"/>
      <c r="D35" s="68" t="s">
        <v>26</v>
      </c>
      <c r="E35" s="631">
        <v>0</v>
      </c>
    </row>
    <row r="36" spans="1:5" outlineLevel="1" x14ac:dyDescent="0.3">
      <c r="A36" s="1105"/>
      <c r="B36" s="1106"/>
      <c r="C36" s="1106"/>
      <c r="D36" s="68" t="s">
        <v>27</v>
      </c>
      <c r="E36" s="631">
        <v>0</v>
      </c>
    </row>
    <row r="37" spans="1:5" outlineLevel="1" x14ac:dyDescent="0.3">
      <c r="A37" s="1105"/>
      <c r="B37" s="1106"/>
      <c r="C37" s="1106"/>
      <c r="D37" s="68" t="s">
        <v>28</v>
      </c>
      <c r="E37" s="631">
        <v>0</v>
      </c>
    </row>
    <row r="38" spans="1:5" outlineLevel="1" x14ac:dyDescent="0.3">
      <c r="A38" s="1105"/>
      <c r="B38" s="1106"/>
      <c r="C38" s="1106"/>
      <c r="D38" s="68" t="s">
        <v>29</v>
      </c>
      <c r="E38" s="631">
        <v>0</v>
      </c>
    </row>
    <row r="39" spans="1:5" outlineLevel="1" x14ac:dyDescent="0.3">
      <c r="A39" s="1105"/>
      <c r="B39" s="1106"/>
      <c r="C39" s="1106"/>
      <c r="D39" s="68" t="s">
        <v>30</v>
      </c>
      <c r="E39" s="631">
        <v>0</v>
      </c>
    </row>
    <row r="40" spans="1:5" outlineLevel="1" x14ac:dyDescent="0.3">
      <c r="A40" s="1105"/>
      <c r="B40" s="1106"/>
      <c r="C40" s="1106"/>
      <c r="D40" s="68" t="s">
        <v>31</v>
      </c>
      <c r="E40" s="631">
        <v>0</v>
      </c>
    </row>
    <row r="41" spans="1:5" outlineLevel="1" x14ac:dyDescent="0.3">
      <c r="A41" s="1105"/>
      <c r="B41" s="1106"/>
      <c r="C41" s="1106"/>
      <c r="D41" s="68" t="s">
        <v>32</v>
      </c>
      <c r="E41" s="631">
        <v>0</v>
      </c>
    </row>
    <row r="42" spans="1:5" outlineLevel="1" x14ac:dyDescent="0.3">
      <c r="A42" s="1105"/>
      <c r="B42" s="1106"/>
      <c r="C42" s="1106"/>
      <c r="D42" s="68" t="s">
        <v>33</v>
      </c>
      <c r="E42" s="631">
        <v>0</v>
      </c>
    </row>
    <row r="43" spans="1:5" ht="15" outlineLevel="1" thickBot="1" x14ac:dyDescent="0.35">
      <c r="A43" s="1105"/>
      <c r="B43" s="1106"/>
      <c r="C43" s="1106"/>
      <c r="D43" s="69" t="s">
        <v>34</v>
      </c>
      <c r="E43" s="636">
        <v>0</v>
      </c>
    </row>
    <row r="44" spans="1:5" outlineLevel="1" x14ac:dyDescent="0.3">
      <c r="A44" s="1105" t="s">
        <v>92</v>
      </c>
      <c r="B44" s="1106" t="s">
        <v>78</v>
      </c>
      <c r="C44" s="1105" t="s">
        <v>366</v>
      </c>
      <c r="D44" s="67" t="s">
        <v>25</v>
      </c>
      <c r="E44" s="631">
        <v>0</v>
      </c>
    </row>
    <row r="45" spans="1:5" outlineLevel="1" x14ac:dyDescent="0.3">
      <c r="A45" s="1105"/>
      <c r="B45" s="1106"/>
      <c r="C45" s="1105"/>
      <c r="D45" s="68" t="s">
        <v>26</v>
      </c>
      <c r="E45" s="631">
        <v>0</v>
      </c>
    </row>
    <row r="46" spans="1:5" outlineLevel="1" x14ac:dyDescent="0.3">
      <c r="A46" s="1105"/>
      <c r="B46" s="1106"/>
      <c r="C46" s="1105"/>
      <c r="D46" s="68" t="s">
        <v>27</v>
      </c>
      <c r="E46" s="631">
        <v>0</v>
      </c>
    </row>
    <row r="47" spans="1:5" outlineLevel="1" x14ac:dyDescent="0.3">
      <c r="A47" s="1105"/>
      <c r="B47" s="1106"/>
      <c r="C47" s="1105"/>
      <c r="D47" s="68" t="s">
        <v>28</v>
      </c>
      <c r="E47" s="631">
        <v>0</v>
      </c>
    </row>
    <row r="48" spans="1:5" outlineLevel="1" x14ac:dyDescent="0.3">
      <c r="A48" s="1105"/>
      <c r="B48" s="1106"/>
      <c r="C48" s="1105"/>
      <c r="D48" s="68" t="s">
        <v>29</v>
      </c>
      <c r="E48" s="631">
        <v>0</v>
      </c>
    </row>
    <row r="49" spans="1:5" outlineLevel="1" x14ac:dyDescent="0.3">
      <c r="A49" s="1105"/>
      <c r="B49" s="1106"/>
      <c r="C49" s="1105"/>
      <c r="D49" s="68" t="s">
        <v>30</v>
      </c>
      <c r="E49" s="631">
        <v>0</v>
      </c>
    </row>
    <row r="50" spans="1:5" outlineLevel="1" x14ac:dyDescent="0.3">
      <c r="A50" s="1105"/>
      <c r="B50" s="1106"/>
      <c r="C50" s="1105"/>
      <c r="D50" s="68" t="s">
        <v>31</v>
      </c>
      <c r="E50" s="631">
        <v>0</v>
      </c>
    </row>
    <row r="51" spans="1:5" outlineLevel="1" x14ac:dyDescent="0.3">
      <c r="A51" s="1105"/>
      <c r="B51" s="1106"/>
      <c r="C51" s="1105"/>
      <c r="D51" s="68" t="s">
        <v>32</v>
      </c>
      <c r="E51" s="631">
        <v>0</v>
      </c>
    </row>
    <row r="52" spans="1:5" outlineLevel="1" x14ac:dyDescent="0.3">
      <c r="A52" s="1105"/>
      <c r="B52" s="1106"/>
      <c r="C52" s="1105"/>
      <c r="D52" s="68" t="s">
        <v>33</v>
      </c>
      <c r="E52" s="631">
        <v>0</v>
      </c>
    </row>
    <row r="53" spans="1:5" ht="15" outlineLevel="1" thickBot="1" x14ac:dyDescent="0.35">
      <c r="A53" s="1105"/>
      <c r="B53" s="1106"/>
      <c r="C53" s="1105"/>
      <c r="D53" s="69" t="s">
        <v>34</v>
      </c>
      <c r="E53" s="636">
        <v>0</v>
      </c>
    </row>
    <row r="55" spans="1:5" ht="28.2" customHeight="1" x14ac:dyDescent="0.3">
      <c r="A55" s="1107" t="s">
        <v>394</v>
      </c>
      <c r="B55" s="1107"/>
      <c r="C55" s="1107"/>
      <c r="D55" s="1107"/>
      <c r="E55" s="1107"/>
    </row>
  </sheetData>
  <mergeCells count="18">
    <mergeCell ref="A55:E55"/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K179"/>
  <sheetViews>
    <sheetView showGridLines="0" zoomScale="70" zoomScaleNormal="70" workbookViewId="0">
      <pane ySplit="2" topLeftCell="A87" activePane="bottomLeft" state="frozen"/>
      <selection pane="bottomLeft" activeCell="K80" sqref="K80"/>
    </sheetView>
  </sheetViews>
  <sheetFormatPr defaultColWidth="8.88671875" defaultRowHeight="14.4" outlineLevelRow="2" outlineLevelCol="2" x14ac:dyDescent="0.3"/>
  <cols>
    <col min="1" max="1" width="6.5546875" style="592" customWidth="1"/>
    <col min="2" max="2" width="22.44140625" customWidth="1"/>
    <col min="3" max="3" width="23.33203125" customWidth="1"/>
    <col min="4" max="4" width="22.44140625" customWidth="1"/>
    <col min="5" max="5" width="13.6640625" customWidth="1"/>
    <col min="6" max="6" width="14.5546875" customWidth="1"/>
    <col min="7" max="7" width="13" customWidth="1" outlineLevel="1"/>
    <col min="8" max="8" width="14.33203125" customWidth="1" outlineLevel="2"/>
    <col min="9" max="9" width="12.21875" customWidth="1" outlineLevel="2"/>
    <col min="10" max="10" width="10.77734375" customWidth="1" outlineLevel="2"/>
    <col min="11" max="11" width="13.6640625" customWidth="1" outlineLevel="1"/>
    <col min="12" max="12" width="13.5546875" customWidth="1"/>
  </cols>
  <sheetData>
    <row r="1" spans="1:11" ht="65.400000000000006" customHeight="1" thickBot="1" x14ac:dyDescent="0.45">
      <c r="B1" s="1101" t="s">
        <v>593</v>
      </c>
      <c r="C1" s="1101"/>
      <c r="D1" s="1101"/>
      <c r="E1" s="1102"/>
      <c r="F1" s="573" t="s">
        <v>35</v>
      </c>
      <c r="G1" s="574" t="str">
        <f>'Rozpočet - vývoj Aplikácií'!$C$4</f>
        <v>1. Podpora workflow pre inšpekčnú a povoľovaciu činnosť</v>
      </c>
      <c r="H1" s="574"/>
      <c r="I1" s="574"/>
      <c r="J1" s="574"/>
      <c r="K1" s="574" t="s">
        <v>302</v>
      </c>
    </row>
    <row r="2" spans="1:11" ht="15" thickBot="1" x14ac:dyDescent="0.35">
      <c r="B2" s="40" t="s">
        <v>0</v>
      </c>
      <c r="C2" s="75" t="s">
        <v>75</v>
      </c>
      <c r="D2" s="75" t="s">
        <v>74</v>
      </c>
      <c r="E2" s="75" t="s">
        <v>23</v>
      </c>
      <c r="F2" s="17"/>
      <c r="G2" s="17"/>
      <c r="H2" s="17"/>
      <c r="I2" s="17"/>
      <c r="J2" s="17"/>
      <c r="K2" s="17"/>
    </row>
    <row r="3" spans="1:11" ht="15" thickBot="1" x14ac:dyDescent="0.35">
      <c r="A3" s="592" t="s">
        <v>337</v>
      </c>
      <c r="B3" s="1109" t="s">
        <v>117</v>
      </c>
      <c r="C3" s="1110"/>
      <c r="D3" s="1110"/>
      <c r="E3" s="78"/>
      <c r="F3" s="77">
        <f t="shared" ref="F3:K3" si="0">F4+F25</f>
        <v>1663200</v>
      </c>
      <c r="G3" s="605">
        <f t="shared" si="0"/>
        <v>1378944</v>
      </c>
      <c r="H3" s="605">
        <f t="shared" si="0"/>
        <v>0</v>
      </c>
      <c r="I3" s="606">
        <f t="shared" si="0"/>
        <v>0</v>
      </c>
      <c r="J3" s="606">
        <f t="shared" si="0"/>
        <v>0</v>
      </c>
      <c r="K3" s="606">
        <f t="shared" si="0"/>
        <v>284256</v>
      </c>
    </row>
    <row r="4" spans="1:11" ht="15" outlineLevel="1" thickBot="1" x14ac:dyDescent="0.35">
      <c r="A4" s="592" t="s">
        <v>338</v>
      </c>
      <c r="B4" s="17" t="s">
        <v>104</v>
      </c>
      <c r="C4" s="17"/>
      <c r="D4" s="17"/>
      <c r="E4" s="28"/>
      <c r="F4" s="77">
        <f t="shared" ref="F4:K4" si="1">SUM(F5:F24)</f>
        <v>0</v>
      </c>
      <c r="G4" s="605">
        <f t="shared" si="1"/>
        <v>0</v>
      </c>
      <c r="H4" s="605">
        <f t="shared" si="1"/>
        <v>0</v>
      </c>
      <c r="I4" s="606">
        <f t="shared" si="1"/>
        <v>0</v>
      </c>
      <c r="J4" s="606">
        <f t="shared" si="1"/>
        <v>0</v>
      </c>
      <c r="K4" s="607">
        <f t="shared" si="1"/>
        <v>0</v>
      </c>
    </row>
    <row r="5" spans="1:11" outlineLevel="2" x14ac:dyDescent="0.3">
      <c r="A5" s="1112" t="s">
        <v>370</v>
      </c>
      <c r="B5" s="1105" t="s">
        <v>72</v>
      </c>
      <c r="C5" s="1106" t="s">
        <v>73</v>
      </c>
      <c r="D5" s="1106" t="s">
        <v>364</v>
      </c>
      <c r="E5" s="67" t="s">
        <v>25</v>
      </c>
      <c r="F5" s="64">
        <f t="shared" ref="F5:F24" si="2">SUM(G5:K5)</f>
        <v>0</v>
      </c>
      <c r="G5" s="609">
        <v>0</v>
      </c>
      <c r="H5" s="610">
        <v>0</v>
      </c>
      <c r="I5" s="611">
        <v>0</v>
      </c>
      <c r="J5" s="611">
        <v>0</v>
      </c>
      <c r="K5" s="612">
        <v>0</v>
      </c>
    </row>
    <row r="6" spans="1:11" outlineLevel="2" x14ac:dyDescent="0.3">
      <c r="A6" s="1112"/>
      <c r="B6" s="1105"/>
      <c r="C6" s="1106"/>
      <c r="D6" s="1106"/>
      <c r="E6" s="68" t="s">
        <v>26</v>
      </c>
      <c r="F6" s="65">
        <f t="shared" si="2"/>
        <v>0</v>
      </c>
      <c r="G6" s="614">
        <v>0</v>
      </c>
      <c r="H6" s="615">
        <v>0</v>
      </c>
      <c r="I6" s="616">
        <v>0</v>
      </c>
      <c r="J6" s="616">
        <v>0</v>
      </c>
      <c r="K6" s="617">
        <v>0</v>
      </c>
    </row>
    <row r="7" spans="1:11" outlineLevel="2" x14ac:dyDescent="0.3">
      <c r="A7" s="1112"/>
      <c r="B7" s="1105"/>
      <c r="C7" s="1106"/>
      <c r="D7" s="1106"/>
      <c r="E7" s="68" t="s">
        <v>27</v>
      </c>
      <c r="F7" s="65">
        <f t="shared" si="2"/>
        <v>0</v>
      </c>
      <c r="G7" s="614">
        <v>0</v>
      </c>
      <c r="H7" s="615">
        <v>0</v>
      </c>
      <c r="I7" s="616">
        <v>0</v>
      </c>
      <c r="J7" s="616">
        <v>0</v>
      </c>
      <c r="K7" s="617">
        <v>0</v>
      </c>
    </row>
    <row r="8" spans="1:11" outlineLevel="2" x14ac:dyDescent="0.3">
      <c r="A8" s="1112"/>
      <c r="B8" s="1105"/>
      <c r="C8" s="1106"/>
      <c r="D8" s="1106"/>
      <c r="E8" s="68" t="s">
        <v>28</v>
      </c>
      <c r="F8" s="65">
        <f t="shared" si="2"/>
        <v>0</v>
      </c>
      <c r="G8" s="614">
        <v>0</v>
      </c>
      <c r="H8" s="615">
        <v>0</v>
      </c>
      <c r="I8" s="616">
        <v>0</v>
      </c>
      <c r="J8" s="616">
        <v>0</v>
      </c>
      <c r="K8" s="617">
        <v>0</v>
      </c>
    </row>
    <row r="9" spans="1:11" outlineLevel="2" x14ac:dyDescent="0.3">
      <c r="A9" s="1112"/>
      <c r="B9" s="1105"/>
      <c r="C9" s="1106"/>
      <c r="D9" s="1106"/>
      <c r="E9" s="68" t="s">
        <v>29</v>
      </c>
      <c r="F9" s="65">
        <f t="shared" si="2"/>
        <v>0</v>
      </c>
      <c r="G9" s="614">
        <v>0</v>
      </c>
      <c r="H9" s="615">
        <v>0</v>
      </c>
      <c r="I9" s="616">
        <v>0</v>
      </c>
      <c r="J9" s="616">
        <v>0</v>
      </c>
      <c r="K9" s="617">
        <v>0</v>
      </c>
    </row>
    <row r="10" spans="1:11" outlineLevel="2" x14ac:dyDescent="0.3">
      <c r="A10" s="1112"/>
      <c r="B10" s="1105"/>
      <c r="C10" s="1106"/>
      <c r="D10" s="1106"/>
      <c r="E10" s="68" t="s">
        <v>30</v>
      </c>
      <c r="F10" s="65">
        <f t="shared" si="2"/>
        <v>0</v>
      </c>
      <c r="G10" s="614">
        <v>0</v>
      </c>
      <c r="H10" s="615">
        <v>0</v>
      </c>
      <c r="I10" s="616">
        <v>0</v>
      </c>
      <c r="J10" s="616">
        <v>0</v>
      </c>
      <c r="K10" s="617">
        <v>0</v>
      </c>
    </row>
    <row r="11" spans="1:11" outlineLevel="2" x14ac:dyDescent="0.3">
      <c r="A11" s="1112"/>
      <c r="B11" s="1105"/>
      <c r="C11" s="1106"/>
      <c r="D11" s="1106"/>
      <c r="E11" s="68" t="s">
        <v>31</v>
      </c>
      <c r="F11" s="65">
        <f t="shared" si="2"/>
        <v>0</v>
      </c>
      <c r="G11" s="614">
        <v>0</v>
      </c>
      <c r="H11" s="615">
        <v>0</v>
      </c>
      <c r="I11" s="616">
        <v>0</v>
      </c>
      <c r="J11" s="616">
        <v>0</v>
      </c>
      <c r="K11" s="617">
        <v>0</v>
      </c>
    </row>
    <row r="12" spans="1:11" outlineLevel="2" x14ac:dyDescent="0.3">
      <c r="A12" s="1112"/>
      <c r="B12" s="1105"/>
      <c r="C12" s="1106"/>
      <c r="D12" s="1106"/>
      <c r="E12" s="68" t="s">
        <v>32</v>
      </c>
      <c r="F12" s="65">
        <f t="shared" si="2"/>
        <v>0</v>
      </c>
      <c r="G12" s="614">
        <v>0</v>
      </c>
      <c r="H12" s="615">
        <v>0</v>
      </c>
      <c r="I12" s="616">
        <v>0</v>
      </c>
      <c r="J12" s="616">
        <v>0</v>
      </c>
      <c r="K12" s="617">
        <v>0</v>
      </c>
    </row>
    <row r="13" spans="1:11" outlineLevel="2" x14ac:dyDescent="0.3">
      <c r="A13" s="1112"/>
      <c r="B13" s="1105"/>
      <c r="C13" s="1106"/>
      <c r="D13" s="1106"/>
      <c r="E13" s="68" t="s">
        <v>33</v>
      </c>
      <c r="F13" s="65">
        <f t="shared" si="2"/>
        <v>0</v>
      </c>
      <c r="G13" s="614">
        <v>0</v>
      </c>
      <c r="H13" s="615">
        <v>0</v>
      </c>
      <c r="I13" s="616">
        <v>0</v>
      </c>
      <c r="J13" s="616">
        <v>0</v>
      </c>
      <c r="K13" s="617">
        <v>0</v>
      </c>
    </row>
    <row r="14" spans="1:11" ht="15" outlineLevel="2" thickBot="1" x14ac:dyDescent="0.35">
      <c r="A14" s="1112"/>
      <c r="B14" s="1105"/>
      <c r="C14" s="1106"/>
      <c r="D14" s="1106"/>
      <c r="E14" s="69" t="s">
        <v>34</v>
      </c>
      <c r="F14" s="65">
        <f t="shared" si="2"/>
        <v>0</v>
      </c>
      <c r="G14" s="618">
        <v>0</v>
      </c>
      <c r="H14" s="619">
        <v>0</v>
      </c>
      <c r="I14" s="620">
        <v>0</v>
      </c>
      <c r="J14" s="620">
        <v>0</v>
      </c>
      <c r="K14" s="621">
        <v>0</v>
      </c>
    </row>
    <row r="15" spans="1:11" outlineLevel="2" x14ac:dyDescent="0.3">
      <c r="A15" s="1112" t="s">
        <v>371</v>
      </c>
      <c r="B15" s="1105" t="s">
        <v>72</v>
      </c>
      <c r="C15" s="1106" t="s">
        <v>78</v>
      </c>
      <c r="D15" s="1106" t="s">
        <v>365</v>
      </c>
      <c r="E15" s="67" t="s">
        <v>25</v>
      </c>
      <c r="F15" s="64">
        <f t="shared" si="2"/>
        <v>0</v>
      </c>
      <c r="G15" s="609">
        <v>0</v>
      </c>
      <c r="H15" s="610">
        <v>0</v>
      </c>
      <c r="I15" s="611">
        <v>0</v>
      </c>
      <c r="J15" s="611">
        <v>0</v>
      </c>
      <c r="K15" s="612">
        <v>0</v>
      </c>
    </row>
    <row r="16" spans="1:11" outlineLevel="2" x14ac:dyDescent="0.3">
      <c r="A16" s="1112"/>
      <c r="B16" s="1105"/>
      <c r="C16" s="1106"/>
      <c r="D16" s="1106"/>
      <c r="E16" s="68" t="s">
        <v>26</v>
      </c>
      <c r="F16" s="65">
        <f t="shared" si="2"/>
        <v>0</v>
      </c>
      <c r="G16" s="614">
        <v>0</v>
      </c>
      <c r="H16" s="615">
        <v>0</v>
      </c>
      <c r="I16" s="616">
        <v>0</v>
      </c>
      <c r="J16" s="616">
        <v>0</v>
      </c>
      <c r="K16" s="617">
        <v>0</v>
      </c>
    </row>
    <row r="17" spans="1:11" outlineLevel="2" x14ac:dyDescent="0.3">
      <c r="A17" s="1112"/>
      <c r="B17" s="1105"/>
      <c r="C17" s="1106"/>
      <c r="D17" s="1106"/>
      <c r="E17" s="68" t="s">
        <v>27</v>
      </c>
      <c r="F17" s="65">
        <f t="shared" si="2"/>
        <v>0</v>
      </c>
      <c r="G17" s="614">
        <v>0</v>
      </c>
      <c r="H17" s="615">
        <v>0</v>
      </c>
      <c r="I17" s="616">
        <v>0</v>
      </c>
      <c r="J17" s="616">
        <v>0</v>
      </c>
      <c r="K17" s="617">
        <v>0</v>
      </c>
    </row>
    <row r="18" spans="1:11" outlineLevel="2" x14ac:dyDescent="0.3">
      <c r="A18" s="1112"/>
      <c r="B18" s="1105"/>
      <c r="C18" s="1106"/>
      <c r="D18" s="1106"/>
      <c r="E18" s="68" t="s">
        <v>28</v>
      </c>
      <c r="F18" s="65">
        <f t="shared" si="2"/>
        <v>0</v>
      </c>
      <c r="G18" s="614">
        <v>0</v>
      </c>
      <c r="H18" s="615">
        <v>0</v>
      </c>
      <c r="I18" s="616">
        <v>0</v>
      </c>
      <c r="J18" s="616">
        <v>0</v>
      </c>
      <c r="K18" s="617">
        <v>0</v>
      </c>
    </row>
    <row r="19" spans="1:11" outlineLevel="2" x14ac:dyDescent="0.3">
      <c r="A19" s="1112"/>
      <c r="B19" s="1105"/>
      <c r="C19" s="1106"/>
      <c r="D19" s="1106"/>
      <c r="E19" s="68" t="s">
        <v>29</v>
      </c>
      <c r="F19" s="65">
        <f t="shared" si="2"/>
        <v>0</v>
      </c>
      <c r="G19" s="614">
        <v>0</v>
      </c>
      <c r="H19" s="615">
        <v>0</v>
      </c>
      <c r="I19" s="616">
        <v>0</v>
      </c>
      <c r="J19" s="616">
        <v>0</v>
      </c>
      <c r="K19" s="617">
        <v>0</v>
      </c>
    </row>
    <row r="20" spans="1:11" outlineLevel="2" x14ac:dyDescent="0.3">
      <c r="A20" s="1112"/>
      <c r="B20" s="1105"/>
      <c r="C20" s="1106"/>
      <c r="D20" s="1106"/>
      <c r="E20" s="68" t="s">
        <v>30</v>
      </c>
      <c r="F20" s="65">
        <f t="shared" si="2"/>
        <v>0</v>
      </c>
      <c r="G20" s="614">
        <v>0</v>
      </c>
      <c r="H20" s="615">
        <v>0</v>
      </c>
      <c r="I20" s="616">
        <v>0</v>
      </c>
      <c r="J20" s="616">
        <v>0</v>
      </c>
      <c r="K20" s="617">
        <v>0</v>
      </c>
    </row>
    <row r="21" spans="1:11" outlineLevel="2" x14ac:dyDescent="0.3">
      <c r="A21" s="1112"/>
      <c r="B21" s="1105"/>
      <c r="C21" s="1106"/>
      <c r="D21" s="1106"/>
      <c r="E21" s="68" t="s">
        <v>31</v>
      </c>
      <c r="F21" s="65">
        <f t="shared" si="2"/>
        <v>0</v>
      </c>
      <c r="G21" s="614">
        <v>0</v>
      </c>
      <c r="H21" s="615">
        <v>0</v>
      </c>
      <c r="I21" s="616">
        <v>0</v>
      </c>
      <c r="J21" s="616">
        <v>0</v>
      </c>
      <c r="K21" s="617">
        <v>0</v>
      </c>
    </row>
    <row r="22" spans="1:11" outlineLevel="2" x14ac:dyDescent="0.3">
      <c r="A22" s="1112"/>
      <c r="B22" s="1105"/>
      <c r="C22" s="1106"/>
      <c r="D22" s="1106"/>
      <c r="E22" s="68" t="s">
        <v>32</v>
      </c>
      <c r="F22" s="65">
        <f t="shared" si="2"/>
        <v>0</v>
      </c>
      <c r="G22" s="614">
        <v>0</v>
      </c>
      <c r="H22" s="615">
        <v>0</v>
      </c>
      <c r="I22" s="616">
        <v>0</v>
      </c>
      <c r="J22" s="616">
        <v>0</v>
      </c>
      <c r="K22" s="617">
        <v>0</v>
      </c>
    </row>
    <row r="23" spans="1:11" outlineLevel="2" x14ac:dyDescent="0.3">
      <c r="A23" s="1112"/>
      <c r="B23" s="1105"/>
      <c r="C23" s="1106"/>
      <c r="D23" s="1106"/>
      <c r="E23" s="68" t="s">
        <v>33</v>
      </c>
      <c r="F23" s="65">
        <f t="shared" si="2"/>
        <v>0</v>
      </c>
      <c r="G23" s="614">
        <v>0</v>
      </c>
      <c r="H23" s="615">
        <v>0</v>
      </c>
      <c r="I23" s="616">
        <v>0</v>
      </c>
      <c r="J23" s="616">
        <v>0</v>
      </c>
      <c r="K23" s="617">
        <v>0</v>
      </c>
    </row>
    <row r="24" spans="1:11" ht="15" outlineLevel="2" thickBot="1" x14ac:dyDescent="0.35">
      <c r="A24" s="1112"/>
      <c r="B24" s="1105"/>
      <c r="C24" s="1106"/>
      <c r="D24" s="1106"/>
      <c r="E24" s="69" t="s">
        <v>34</v>
      </c>
      <c r="F24" s="66">
        <f t="shared" si="2"/>
        <v>0</v>
      </c>
      <c r="G24" s="618">
        <v>0</v>
      </c>
      <c r="H24" s="619">
        <v>0</v>
      </c>
      <c r="I24" s="620">
        <v>0</v>
      </c>
      <c r="J24" s="620">
        <v>0</v>
      </c>
      <c r="K24" s="621">
        <v>0</v>
      </c>
    </row>
    <row r="25" spans="1:11" ht="15" outlineLevel="1" thickBot="1" x14ac:dyDescent="0.35">
      <c r="A25" s="592" t="s">
        <v>339</v>
      </c>
      <c r="B25" s="17" t="s">
        <v>105</v>
      </c>
      <c r="C25" s="17"/>
      <c r="D25" s="17"/>
      <c r="E25" s="28"/>
      <c r="F25" s="119">
        <f t="shared" ref="F25:K25" si="3">SUM(F26:F55)</f>
        <v>1663200</v>
      </c>
      <c r="G25" s="623">
        <f t="shared" si="3"/>
        <v>1378944</v>
      </c>
      <c r="H25" s="623">
        <f t="shared" si="3"/>
        <v>0</v>
      </c>
      <c r="I25" s="624">
        <f t="shared" si="3"/>
        <v>0</v>
      </c>
      <c r="J25" s="624">
        <f t="shared" si="3"/>
        <v>0</v>
      </c>
      <c r="K25" s="625">
        <f t="shared" si="3"/>
        <v>284256</v>
      </c>
    </row>
    <row r="26" spans="1:11" outlineLevel="2" x14ac:dyDescent="0.3">
      <c r="A26" s="1112" t="s">
        <v>372</v>
      </c>
      <c r="B26" s="1105" t="s">
        <v>76</v>
      </c>
      <c r="C26" s="1106" t="s">
        <v>73</v>
      </c>
      <c r="D26" s="1106" t="s">
        <v>364</v>
      </c>
      <c r="E26" s="67" t="s">
        <v>25</v>
      </c>
      <c r="F26" s="71">
        <f t="shared" ref="F26:F55" si="4">SUM(G26:K26)</f>
        <v>1663200</v>
      </c>
      <c r="G26" s="627">
        <f>SUM('Rozpočet - vývoj Aplikácií'!AP5:AQ9)*(1+G$179)</f>
        <v>1378944</v>
      </c>
      <c r="H26" s="629">
        <v>0</v>
      </c>
      <c r="I26" s="629">
        <v>0</v>
      </c>
      <c r="J26" s="629">
        <v>0</v>
      </c>
      <c r="K26" s="630">
        <f>SUM('Rozpočet - vývoj Aplikácií'!AP11:AQ15)*(1+K$179)</f>
        <v>284256</v>
      </c>
    </row>
    <row r="27" spans="1:11" outlineLevel="2" x14ac:dyDescent="0.3">
      <c r="A27" s="1112"/>
      <c r="B27" s="1105"/>
      <c r="C27" s="1106"/>
      <c r="D27" s="1106"/>
      <c r="E27" s="68" t="s">
        <v>26</v>
      </c>
      <c r="F27" s="72">
        <f t="shared" si="4"/>
        <v>0</v>
      </c>
      <c r="G27" s="632">
        <f>SUM('Rozpočet - vývoj Aplikácií'!AW5:AX9)*(1+G$179)</f>
        <v>0</v>
      </c>
      <c r="H27" s="633">
        <v>0</v>
      </c>
      <c r="I27" s="634">
        <v>0</v>
      </c>
      <c r="J27" s="634">
        <v>0</v>
      </c>
      <c r="K27" s="635">
        <f>SUM('Rozpočet - vývoj Aplikácií'!AW11:AX15)*(1+K$179)</f>
        <v>0</v>
      </c>
    </row>
    <row r="28" spans="1:11" outlineLevel="2" x14ac:dyDescent="0.3">
      <c r="A28" s="1112"/>
      <c r="B28" s="1105"/>
      <c r="C28" s="1106"/>
      <c r="D28" s="1106"/>
      <c r="E28" s="68" t="s">
        <v>27</v>
      </c>
      <c r="F28" s="72">
        <f t="shared" si="4"/>
        <v>0</v>
      </c>
      <c r="G28" s="632">
        <v>0</v>
      </c>
      <c r="H28" s="633">
        <v>0</v>
      </c>
      <c r="I28" s="634">
        <v>0</v>
      </c>
      <c r="J28" s="634">
        <v>0</v>
      </c>
      <c r="K28" s="635">
        <v>0</v>
      </c>
    </row>
    <row r="29" spans="1:11" outlineLevel="2" x14ac:dyDescent="0.3">
      <c r="A29" s="1112"/>
      <c r="B29" s="1105"/>
      <c r="C29" s="1106"/>
      <c r="D29" s="1106"/>
      <c r="E29" s="68" t="s">
        <v>28</v>
      </c>
      <c r="F29" s="72">
        <f t="shared" si="4"/>
        <v>0</v>
      </c>
      <c r="G29" s="632">
        <v>0</v>
      </c>
      <c r="H29" s="633">
        <v>0</v>
      </c>
      <c r="I29" s="634">
        <v>0</v>
      </c>
      <c r="J29" s="634">
        <v>0</v>
      </c>
      <c r="K29" s="635">
        <v>0</v>
      </c>
    </row>
    <row r="30" spans="1:11" outlineLevel="2" x14ac:dyDescent="0.3">
      <c r="A30" s="1112"/>
      <c r="B30" s="1105"/>
      <c r="C30" s="1106"/>
      <c r="D30" s="1106"/>
      <c r="E30" s="68" t="s">
        <v>29</v>
      </c>
      <c r="F30" s="72">
        <f t="shared" si="4"/>
        <v>0</v>
      </c>
      <c r="G30" s="632">
        <v>0</v>
      </c>
      <c r="H30" s="633">
        <v>0</v>
      </c>
      <c r="I30" s="634">
        <v>0</v>
      </c>
      <c r="J30" s="634">
        <v>0</v>
      </c>
      <c r="K30" s="635">
        <v>0</v>
      </c>
    </row>
    <row r="31" spans="1:11" outlineLevel="2" x14ac:dyDescent="0.3">
      <c r="A31" s="1112"/>
      <c r="B31" s="1105"/>
      <c r="C31" s="1106"/>
      <c r="D31" s="1106"/>
      <c r="E31" s="68" t="s">
        <v>30</v>
      </c>
      <c r="F31" s="72">
        <f t="shared" si="4"/>
        <v>0</v>
      </c>
      <c r="G31" s="632">
        <v>0</v>
      </c>
      <c r="H31" s="633">
        <v>0</v>
      </c>
      <c r="I31" s="634">
        <v>0</v>
      </c>
      <c r="J31" s="634">
        <v>0</v>
      </c>
      <c r="K31" s="635">
        <v>0</v>
      </c>
    </row>
    <row r="32" spans="1:11" outlineLevel="2" x14ac:dyDescent="0.3">
      <c r="A32" s="1112"/>
      <c r="B32" s="1105"/>
      <c r="C32" s="1106"/>
      <c r="D32" s="1106"/>
      <c r="E32" s="68" t="s">
        <v>31</v>
      </c>
      <c r="F32" s="72">
        <f t="shared" si="4"/>
        <v>0</v>
      </c>
      <c r="G32" s="632">
        <v>0</v>
      </c>
      <c r="H32" s="633">
        <v>0</v>
      </c>
      <c r="I32" s="634">
        <v>0</v>
      </c>
      <c r="J32" s="634">
        <v>0</v>
      </c>
      <c r="K32" s="635">
        <v>0</v>
      </c>
    </row>
    <row r="33" spans="1:11" outlineLevel="2" x14ac:dyDescent="0.3">
      <c r="A33" s="1112"/>
      <c r="B33" s="1105"/>
      <c r="C33" s="1106"/>
      <c r="D33" s="1106"/>
      <c r="E33" s="68" t="s">
        <v>32</v>
      </c>
      <c r="F33" s="72">
        <f t="shared" si="4"/>
        <v>0</v>
      </c>
      <c r="G33" s="632">
        <v>0</v>
      </c>
      <c r="H33" s="633">
        <v>0</v>
      </c>
      <c r="I33" s="634">
        <v>0</v>
      </c>
      <c r="J33" s="634">
        <v>0</v>
      </c>
      <c r="K33" s="635">
        <v>0</v>
      </c>
    </row>
    <row r="34" spans="1:11" outlineLevel="2" x14ac:dyDescent="0.3">
      <c r="A34" s="1112"/>
      <c r="B34" s="1105"/>
      <c r="C34" s="1106"/>
      <c r="D34" s="1106"/>
      <c r="E34" s="68" t="s">
        <v>33</v>
      </c>
      <c r="F34" s="72">
        <f t="shared" si="4"/>
        <v>0</v>
      </c>
      <c r="G34" s="632">
        <v>0</v>
      </c>
      <c r="H34" s="633">
        <v>0</v>
      </c>
      <c r="I34" s="634">
        <v>0</v>
      </c>
      <c r="J34" s="634">
        <v>0</v>
      </c>
      <c r="K34" s="635">
        <v>0</v>
      </c>
    </row>
    <row r="35" spans="1:11" ht="15" outlineLevel="2" thickBot="1" x14ac:dyDescent="0.35">
      <c r="A35" s="1112"/>
      <c r="B35" s="1105"/>
      <c r="C35" s="1106"/>
      <c r="D35" s="1106"/>
      <c r="E35" s="69" t="s">
        <v>34</v>
      </c>
      <c r="F35" s="73">
        <f t="shared" si="4"/>
        <v>0</v>
      </c>
      <c r="G35" s="637">
        <v>0</v>
      </c>
      <c r="H35" s="638">
        <v>0</v>
      </c>
      <c r="I35" s="639">
        <v>0</v>
      </c>
      <c r="J35" s="639">
        <v>0</v>
      </c>
      <c r="K35" s="640">
        <v>0</v>
      </c>
    </row>
    <row r="36" spans="1:11" outlineLevel="2" x14ac:dyDescent="0.3">
      <c r="A36" s="1112" t="s">
        <v>373</v>
      </c>
      <c r="B36" s="1105" t="s">
        <v>76</v>
      </c>
      <c r="C36" s="1106" t="s">
        <v>78</v>
      </c>
      <c r="D36" s="1106" t="s">
        <v>365</v>
      </c>
      <c r="E36" s="67" t="s">
        <v>25</v>
      </c>
      <c r="F36" s="72">
        <f t="shared" si="4"/>
        <v>0</v>
      </c>
      <c r="G36" s="627">
        <v>0</v>
      </c>
      <c r="H36" s="628">
        <v>0</v>
      </c>
      <c r="I36" s="629">
        <v>0</v>
      </c>
      <c r="J36" s="629">
        <v>0</v>
      </c>
      <c r="K36" s="630">
        <v>0</v>
      </c>
    </row>
    <row r="37" spans="1:11" outlineLevel="2" x14ac:dyDescent="0.3">
      <c r="A37" s="1112"/>
      <c r="B37" s="1105"/>
      <c r="C37" s="1106"/>
      <c r="D37" s="1106"/>
      <c r="E37" s="68" t="s">
        <v>26</v>
      </c>
      <c r="F37" s="72">
        <f t="shared" si="4"/>
        <v>0</v>
      </c>
      <c r="G37" s="632">
        <v>0</v>
      </c>
      <c r="H37" s="633">
        <v>0</v>
      </c>
      <c r="I37" s="634">
        <v>0</v>
      </c>
      <c r="J37" s="634">
        <v>0</v>
      </c>
      <c r="K37" s="635">
        <v>0</v>
      </c>
    </row>
    <row r="38" spans="1:11" outlineLevel="2" x14ac:dyDescent="0.3">
      <c r="A38" s="1112"/>
      <c r="B38" s="1105"/>
      <c r="C38" s="1106"/>
      <c r="D38" s="1106"/>
      <c r="E38" s="68" t="s">
        <v>27</v>
      </c>
      <c r="F38" s="72">
        <f t="shared" si="4"/>
        <v>0</v>
      </c>
      <c r="G38" s="632">
        <v>0</v>
      </c>
      <c r="H38" s="633">
        <v>0</v>
      </c>
      <c r="I38" s="634">
        <v>0</v>
      </c>
      <c r="J38" s="634">
        <v>0</v>
      </c>
      <c r="K38" s="635">
        <v>0</v>
      </c>
    </row>
    <row r="39" spans="1:11" outlineLevel="2" x14ac:dyDescent="0.3">
      <c r="A39" s="1112"/>
      <c r="B39" s="1105"/>
      <c r="C39" s="1106"/>
      <c r="D39" s="1106"/>
      <c r="E39" s="68" t="s">
        <v>28</v>
      </c>
      <c r="F39" s="72">
        <f t="shared" si="4"/>
        <v>0</v>
      </c>
      <c r="G39" s="632">
        <v>0</v>
      </c>
      <c r="H39" s="633">
        <v>0</v>
      </c>
      <c r="I39" s="634">
        <v>0</v>
      </c>
      <c r="J39" s="634">
        <v>0</v>
      </c>
      <c r="K39" s="635">
        <v>0</v>
      </c>
    </row>
    <row r="40" spans="1:11" outlineLevel="2" x14ac:dyDescent="0.3">
      <c r="A40" s="1112"/>
      <c r="B40" s="1105"/>
      <c r="C40" s="1106"/>
      <c r="D40" s="1106"/>
      <c r="E40" s="68" t="s">
        <v>29</v>
      </c>
      <c r="F40" s="72">
        <f t="shared" si="4"/>
        <v>0</v>
      </c>
      <c r="G40" s="632">
        <v>0</v>
      </c>
      <c r="H40" s="633">
        <v>0</v>
      </c>
      <c r="I40" s="634">
        <v>0</v>
      </c>
      <c r="J40" s="634">
        <v>0</v>
      </c>
      <c r="K40" s="635">
        <v>0</v>
      </c>
    </row>
    <row r="41" spans="1:11" outlineLevel="2" x14ac:dyDescent="0.3">
      <c r="A41" s="1112"/>
      <c r="B41" s="1105"/>
      <c r="C41" s="1106"/>
      <c r="D41" s="1106"/>
      <c r="E41" s="68" t="s">
        <v>30</v>
      </c>
      <c r="F41" s="72">
        <f t="shared" si="4"/>
        <v>0</v>
      </c>
      <c r="G41" s="632">
        <v>0</v>
      </c>
      <c r="H41" s="633">
        <v>0</v>
      </c>
      <c r="I41" s="634">
        <v>0</v>
      </c>
      <c r="J41" s="634">
        <v>0</v>
      </c>
      <c r="K41" s="635">
        <v>0</v>
      </c>
    </row>
    <row r="42" spans="1:11" outlineLevel="2" x14ac:dyDescent="0.3">
      <c r="A42" s="1112"/>
      <c r="B42" s="1105"/>
      <c r="C42" s="1106"/>
      <c r="D42" s="1106"/>
      <c r="E42" s="68" t="s">
        <v>31</v>
      </c>
      <c r="F42" s="72">
        <f t="shared" si="4"/>
        <v>0</v>
      </c>
      <c r="G42" s="632">
        <v>0</v>
      </c>
      <c r="H42" s="633">
        <v>0</v>
      </c>
      <c r="I42" s="634">
        <v>0</v>
      </c>
      <c r="J42" s="634">
        <v>0</v>
      </c>
      <c r="K42" s="635">
        <v>0</v>
      </c>
    </row>
    <row r="43" spans="1:11" outlineLevel="2" x14ac:dyDescent="0.3">
      <c r="A43" s="1112"/>
      <c r="B43" s="1105"/>
      <c r="C43" s="1106"/>
      <c r="D43" s="1106"/>
      <c r="E43" s="68" t="s">
        <v>32</v>
      </c>
      <c r="F43" s="72">
        <f t="shared" si="4"/>
        <v>0</v>
      </c>
      <c r="G43" s="632">
        <v>0</v>
      </c>
      <c r="H43" s="633">
        <v>0</v>
      </c>
      <c r="I43" s="634">
        <v>0</v>
      </c>
      <c r="J43" s="634">
        <v>0</v>
      </c>
      <c r="K43" s="635">
        <v>0</v>
      </c>
    </row>
    <row r="44" spans="1:11" outlineLevel="2" x14ac:dyDescent="0.3">
      <c r="A44" s="1112"/>
      <c r="B44" s="1105"/>
      <c r="C44" s="1106"/>
      <c r="D44" s="1106"/>
      <c r="E44" s="68" t="s">
        <v>33</v>
      </c>
      <c r="F44" s="72">
        <f t="shared" si="4"/>
        <v>0</v>
      </c>
      <c r="G44" s="632">
        <v>0</v>
      </c>
      <c r="H44" s="633">
        <v>0</v>
      </c>
      <c r="I44" s="634">
        <v>0</v>
      </c>
      <c r="J44" s="634">
        <v>0</v>
      </c>
      <c r="K44" s="635">
        <v>0</v>
      </c>
    </row>
    <row r="45" spans="1:11" ht="15" outlineLevel="2" thickBot="1" x14ac:dyDescent="0.35">
      <c r="A45" s="1112"/>
      <c r="B45" s="1105"/>
      <c r="C45" s="1106"/>
      <c r="D45" s="1106"/>
      <c r="E45" s="69" t="s">
        <v>34</v>
      </c>
      <c r="F45" s="73">
        <f t="shared" si="4"/>
        <v>0</v>
      </c>
      <c r="G45" s="637">
        <v>0</v>
      </c>
      <c r="H45" s="638">
        <v>0</v>
      </c>
      <c r="I45" s="639">
        <v>0</v>
      </c>
      <c r="J45" s="639">
        <v>0</v>
      </c>
      <c r="K45" s="640">
        <v>0</v>
      </c>
    </row>
    <row r="46" spans="1:11" outlineLevel="2" x14ac:dyDescent="0.3">
      <c r="A46" s="1112" t="s">
        <v>374</v>
      </c>
      <c r="B46" s="1105" t="s">
        <v>77</v>
      </c>
      <c r="C46" s="1106" t="s">
        <v>78</v>
      </c>
      <c r="D46" s="1105" t="s">
        <v>366</v>
      </c>
      <c r="E46" s="67" t="s">
        <v>25</v>
      </c>
      <c r="F46" s="72">
        <f t="shared" si="4"/>
        <v>0</v>
      </c>
      <c r="G46" s="627">
        <v>0</v>
      </c>
      <c r="H46" s="628">
        <v>0</v>
      </c>
      <c r="I46" s="629">
        <v>0</v>
      </c>
      <c r="J46" s="629">
        <v>0</v>
      </c>
      <c r="K46" s="630">
        <v>0</v>
      </c>
    </row>
    <row r="47" spans="1:11" outlineLevel="2" x14ac:dyDescent="0.3">
      <c r="A47" s="1112"/>
      <c r="B47" s="1105"/>
      <c r="C47" s="1106"/>
      <c r="D47" s="1105"/>
      <c r="E47" s="68" t="s">
        <v>26</v>
      </c>
      <c r="F47" s="72">
        <f t="shared" si="4"/>
        <v>0</v>
      </c>
      <c r="G47" s="632">
        <v>0</v>
      </c>
      <c r="H47" s="633">
        <v>0</v>
      </c>
      <c r="I47" s="634">
        <v>0</v>
      </c>
      <c r="J47" s="634">
        <v>0</v>
      </c>
      <c r="K47" s="635">
        <v>0</v>
      </c>
    </row>
    <row r="48" spans="1:11" outlineLevel="2" x14ac:dyDescent="0.3">
      <c r="A48" s="1112"/>
      <c r="B48" s="1105"/>
      <c r="C48" s="1106"/>
      <c r="D48" s="1105"/>
      <c r="E48" s="68" t="s">
        <v>27</v>
      </c>
      <c r="F48" s="72">
        <f t="shared" si="4"/>
        <v>0</v>
      </c>
      <c r="G48" s="632">
        <v>0</v>
      </c>
      <c r="H48" s="633">
        <v>0</v>
      </c>
      <c r="I48" s="634">
        <v>0</v>
      </c>
      <c r="J48" s="634">
        <v>0</v>
      </c>
      <c r="K48" s="635">
        <v>0</v>
      </c>
    </row>
    <row r="49" spans="1:11" outlineLevel="2" x14ac:dyDescent="0.3">
      <c r="A49" s="1112"/>
      <c r="B49" s="1105"/>
      <c r="C49" s="1106"/>
      <c r="D49" s="1105"/>
      <c r="E49" s="68" t="s">
        <v>28</v>
      </c>
      <c r="F49" s="72">
        <f t="shared" si="4"/>
        <v>0</v>
      </c>
      <c r="G49" s="632">
        <v>0</v>
      </c>
      <c r="H49" s="633">
        <v>0</v>
      </c>
      <c r="I49" s="634">
        <v>0</v>
      </c>
      <c r="J49" s="634">
        <v>0</v>
      </c>
      <c r="K49" s="635">
        <v>0</v>
      </c>
    </row>
    <row r="50" spans="1:11" outlineLevel="2" x14ac:dyDescent="0.3">
      <c r="A50" s="1112"/>
      <c r="B50" s="1105"/>
      <c r="C50" s="1106"/>
      <c r="D50" s="1105"/>
      <c r="E50" s="68" t="s">
        <v>29</v>
      </c>
      <c r="F50" s="72">
        <f t="shared" si="4"/>
        <v>0</v>
      </c>
      <c r="G50" s="632">
        <v>0</v>
      </c>
      <c r="H50" s="633">
        <v>0</v>
      </c>
      <c r="I50" s="634">
        <v>0</v>
      </c>
      <c r="J50" s="634">
        <v>0</v>
      </c>
      <c r="K50" s="635">
        <v>0</v>
      </c>
    </row>
    <row r="51" spans="1:11" outlineLevel="2" x14ac:dyDescent="0.3">
      <c r="A51" s="1112"/>
      <c r="B51" s="1105"/>
      <c r="C51" s="1106"/>
      <c r="D51" s="1105"/>
      <c r="E51" s="68" t="s">
        <v>30</v>
      </c>
      <c r="F51" s="72">
        <f t="shared" si="4"/>
        <v>0</v>
      </c>
      <c r="G51" s="632">
        <v>0</v>
      </c>
      <c r="H51" s="633">
        <v>0</v>
      </c>
      <c r="I51" s="634">
        <v>0</v>
      </c>
      <c r="J51" s="634">
        <v>0</v>
      </c>
      <c r="K51" s="635">
        <v>0</v>
      </c>
    </row>
    <row r="52" spans="1:11" outlineLevel="2" x14ac:dyDescent="0.3">
      <c r="A52" s="1112"/>
      <c r="B52" s="1105"/>
      <c r="C52" s="1106"/>
      <c r="D52" s="1105"/>
      <c r="E52" s="68" t="s">
        <v>31</v>
      </c>
      <c r="F52" s="72">
        <f t="shared" si="4"/>
        <v>0</v>
      </c>
      <c r="G52" s="632">
        <v>0</v>
      </c>
      <c r="H52" s="633">
        <v>0</v>
      </c>
      <c r="I52" s="634">
        <v>0</v>
      </c>
      <c r="J52" s="634">
        <v>0</v>
      </c>
      <c r="K52" s="635">
        <v>0</v>
      </c>
    </row>
    <row r="53" spans="1:11" outlineLevel="2" x14ac:dyDescent="0.3">
      <c r="A53" s="1112"/>
      <c r="B53" s="1105"/>
      <c r="C53" s="1106"/>
      <c r="D53" s="1105"/>
      <c r="E53" s="68" t="s">
        <v>32</v>
      </c>
      <c r="F53" s="72">
        <f t="shared" si="4"/>
        <v>0</v>
      </c>
      <c r="G53" s="632">
        <v>0</v>
      </c>
      <c r="H53" s="633">
        <v>0</v>
      </c>
      <c r="I53" s="634">
        <v>0</v>
      </c>
      <c r="J53" s="634">
        <v>0</v>
      </c>
      <c r="K53" s="635">
        <v>0</v>
      </c>
    </row>
    <row r="54" spans="1:11" outlineLevel="2" x14ac:dyDescent="0.3">
      <c r="A54" s="1112"/>
      <c r="B54" s="1105"/>
      <c r="C54" s="1106"/>
      <c r="D54" s="1105"/>
      <c r="E54" s="68" t="s">
        <v>33</v>
      </c>
      <c r="F54" s="72">
        <f t="shared" si="4"/>
        <v>0</v>
      </c>
      <c r="G54" s="632">
        <v>0</v>
      </c>
      <c r="H54" s="633">
        <v>0</v>
      </c>
      <c r="I54" s="634">
        <v>0</v>
      </c>
      <c r="J54" s="634">
        <v>0</v>
      </c>
      <c r="K54" s="635">
        <v>0</v>
      </c>
    </row>
    <row r="55" spans="1:11" ht="15" outlineLevel="2" thickBot="1" x14ac:dyDescent="0.35">
      <c r="A55" s="1112"/>
      <c r="B55" s="1105"/>
      <c r="C55" s="1106"/>
      <c r="D55" s="1105"/>
      <c r="E55" s="68" t="s">
        <v>34</v>
      </c>
      <c r="F55" s="73">
        <f t="shared" si="4"/>
        <v>0</v>
      </c>
      <c r="G55" s="637">
        <v>0</v>
      </c>
      <c r="H55" s="638">
        <v>0</v>
      </c>
      <c r="I55" s="639">
        <v>0</v>
      </c>
      <c r="J55" s="639">
        <v>0</v>
      </c>
      <c r="K55" s="640">
        <v>0</v>
      </c>
    </row>
    <row r="56" spans="1:11" ht="15" thickBot="1" x14ac:dyDescent="0.35">
      <c r="A56" s="592" t="s">
        <v>343</v>
      </c>
      <c r="B56" s="1103" t="s">
        <v>79</v>
      </c>
      <c r="C56" s="1104"/>
      <c r="D56" s="1104"/>
      <c r="E56" s="79"/>
      <c r="F56" s="77">
        <f t="shared" ref="F56:K56" si="5">F57+F78</f>
        <v>1641600</v>
      </c>
      <c r="G56" s="605">
        <f t="shared" si="5"/>
        <v>1512000</v>
      </c>
      <c r="H56" s="605">
        <f t="shared" si="5"/>
        <v>0</v>
      </c>
      <c r="I56" s="606">
        <f t="shared" si="5"/>
        <v>0</v>
      </c>
      <c r="J56" s="606">
        <f t="shared" si="5"/>
        <v>0</v>
      </c>
      <c r="K56" s="607">
        <f t="shared" si="5"/>
        <v>129600</v>
      </c>
    </row>
    <row r="57" spans="1:11" ht="15" outlineLevel="1" thickBot="1" x14ac:dyDescent="0.35">
      <c r="A57" s="592" t="s">
        <v>344</v>
      </c>
      <c r="B57" s="17" t="s">
        <v>104</v>
      </c>
      <c r="C57" s="17"/>
      <c r="D57" s="17"/>
      <c r="E57" s="28"/>
      <c r="F57" s="117">
        <f t="shared" ref="F57:K57" si="6">SUM(F58:F77)</f>
        <v>0</v>
      </c>
      <c r="G57" s="642">
        <f t="shared" si="6"/>
        <v>0</v>
      </c>
      <c r="H57" s="642">
        <f t="shared" si="6"/>
        <v>0</v>
      </c>
      <c r="I57" s="643">
        <f t="shared" si="6"/>
        <v>0</v>
      </c>
      <c r="J57" s="643">
        <f t="shared" si="6"/>
        <v>0</v>
      </c>
      <c r="K57" s="644">
        <f t="shared" si="6"/>
        <v>0</v>
      </c>
    </row>
    <row r="58" spans="1:11" outlineLevel="2" x14ac:dyDescent="0.3">
      <c r="A58" s="1112" t="s">
        <v>375</v>
      </c>
      <c r="B58" s="1105" t="s">
        <v>80</v>
      </c>
      <c r="C58" s="1106" t="s">
        <v>81</v>
      </c>
      <c r="D58" s="1105" t="s">
        <v>367</v>
      </c>
      <c r="E58" s="67" t="s">
        <v>25</v>
      </c>
      <c r="F58" s="64">
        <f t="shared" ref="F58:F77" si="7">SUM(G58:K58)</f>
        <v>0</v>
      </c>
      <c r="G58" s="609">
        <v>0</v>
      </c>
      <c r="H58" s="610">
        <v>0</v>
      </c>
      <c r="I58" s="610">
        <v>0</v>
      </c>
      <c r="J58" s="611">
        <v>0</v>
      </c>
      <c r="K58" s="612">
        <v>0</v>
      </c>
    </row>
    <row r="59" spans="1:11" outlineLevel="2" x14ac:dyDescent="0.3">
      <c r="A59" s="1112"/>
      <c r="B59" s="1105"/>
      <c r="C59" s="1106"/>
      <c r="D59" s="1105"/>
      <c r="E59" s="68" t="s">
        <v>26</v>
      </c>
      <c r="F59" s="65">
        <f t="shared" si="7"/>
        <v>0</v>
      </c>
      <c r="G59" s="614">
        <v>0</v>
      </c>
      <c r="H59" s="615">
        <v>0</v>
      </c>
      <c r="I59" s="615">
        <v>0</v>
      </c>
      <c r="J59" s="616">
        <v>0</v>
      </c>
      <c r="K59" s="617">
        <v>0</v>
      </c>
    </row>
    <row r="60" spans="1:11" outlineLevel="2" x14ac:dyDescent="0.3">
      <c r="A60" s="1112"/>
      <c r="B60" s="1105"/>
      <c r="C60" s="1106"/>
      <c r="D60" s="1105"/>
      <c r="E60" s="68" t="s">
        <v>27</v>
      </c>
      <c r="F60" s="65">
        <f t="shared" si="7"/>
        <v>0</v>
      </c>
      <c r="G60" s="614">
        <v>0</v>
      </c>
      <c r="H60" s="615">
        <v>0</v>
      </c>
      <c r="I60" s="615">
        <v>0</v>
      </c>
      <c r="J60" s="616">
        <v>0</v>
      </c>
      <c r="K60" s="617">
        <v>0</v>
      </c>
    </row>
    <row r="61" spans="1:11" outlineLevel="2" x14ac:dyDescent="0.3">
      <c r="A61" s="1112"/>
      <c r="B61" s="1105"/>
      <c r="C61" s="1106"/>
      <c r="D61" s="1105"/>
      <c r="E61" s="68" t="s">
        <v>28</v>
      </c>
      <c r="F61" s="65">
        <f t="shared" si="7"/>
        <v>0</v>
      </c>
      <c r="G61" s="614">
        <v>0</v>
      </c>
      <c r="H61" s="615">
        <v>0</v>
      </c>
      <c r="I61" s="615">
        <v>0</v>
      </c>
      <c r="J61" s="616">
        <v>0</v>
      </c>
      <c r="K61" s="617">
        <v>0</v>
      </c>
    </row>
    <row r="62" spans="1:11" outlineLevel="2" x14ac:dyDescent="0.3">
      <c r="A62" s="1112"/>
      <c r="B62" s="1105"/>
      <c r="C62" s="1106"/>
      <c r="D62" s="1105"/>
      <c r="E62" s="68" t="s">
        <v>29</v>
      </c>
      <c r="F62" s="65">
        <f t="shared" si="7"/>
        <v>0</v>
      </c>
      <c r="G62" s="614">
        <v>0</v>
      </c>
      <c r="H62" s="615">
        <v>0</v>
      </c>
      <c r="I62" s="615">
        <v>0</v>
      </c>
      <c r="J62" s="616">
        <v>0</v>
      </c>
      <c r="K62" s="617">
        <v>0</v>
      </c>
    </row>
    <row r="63" spans="1:11" outlineLevel="2" x14ac:dyDescent="0.3">
      <c r="A63" s="1112"/>
      <c r="B63" s="1105"/>
      <c r="C63" s="1106"/>
      <c r="D63" s="1105"/>
      <c r="E63" s="68" t="s">
        <v>30</v>
      </c>
      <c r="F63" s="65">
        <f t="shared" si="7"/>
        <v>0</v>
      </c>
      <c r="G63" s="614">
        <v>0</v>
      </c>
      <c r="H63" s="615">
        <v>0</v>
      </c>
      <c r="I63" s="615">
        <v>0</v>
      </c>
      <c r="J63" s="616">
        <v>0</v>
      </c>
      <c r="K63" s="617">
        <v>0</v>
      </c>
    </row>
    <row r="64" spans="1:11" outlineLevel="2" x14ac:dyDescent="0.3">
      <c r="A64" s="1112"/>
      <c r="B64" s="1105"/>
      <c r="C64" s="1106"/>
      <c r="D64" s="1105"/>
      <c r="E64" s="68" t="s">
        <v>31</v>
      </c>
      <c r="F64" s="65">
        <f t="shared" si="7"/>
        <v>0</v>
      </c>
      <c r="G64" s="614">
        <v>0</v>
      </c>
      <c r="H64" s="615">
        <v>0</v>
      </c>
      <c r="I64" s="615">
        <v>0</v>
      </c>
      <c r="J64" s="616">
        <v>0</v>
      </c>
      <c r="K64" s="617">
        <v>0</v>
      </c>
    </row>
    <row r="65" spans="1:11" outlineLevel="2" x14ac:dyDescent="0.3">
      <c r="A65" s="1112"/>
      <c r="B65" s="1105"/>
      <c r="C65" s="1106"/>
      <c r="D65" s="1105"/>
      <c r="E65" s="68" t="s">
        <v>32</v>
      </c>
      <c r="F65" s="65">
        <f t="shared" si="7"/>
        <v>0</v>
      </c>
      <c r="G65" s="614">
        <v>0</v>
      </c>
      <c r="H65" s="615">
        <v>0</v>
      </c>
      <c r="I65" s="615">
        <v>0</v>
      </c>
      <c r="J65" s="616">
        <v>0</v>
      </c>
      <c r="K65" s="617">
        <v>0</v>
      </c>
    </row>
    <row r="66" spans="1:11" outlineLevel="2" x14ac:dyDescent="0.3">
      <c r="A66" s="1112"/>
      <c r="B66" s="1105"/>
      <c r="C66" s="1106"/>
      <c r="D66" s="1105"/>
      <c r="E66" s="68" t="s">
        <v>33</v>
      </c>
      <c r="F66" s="65">
        <f t="shared" si="7"/>
        <v>0</v>
      </c>
      <c r="G66" s="614">
        <v>0</v>
      </c>
      <c r="H66" s="615">
        <v>0</v>
      </c>
      <c r="I66" s="615">
        <v>0</v>
      </c>
      <c r="J66" s="616">
        <v>0</v>
      </c>
      <c r="K66" s="617">
        <v>0</v>
      </c>
    </row>
    <row r="67" spans="1:11" ht="15" outlineLevel="2" thickBot="1" x14ac:dyDescent="0.35">
      <c r="A67" s="1112"/>
      <c r="B67" s="1105"/>
      <c r="C67" s="1106"/>
      <c r="D67" s="1105"/>
      <c r="E67" s="69" t="s">
        <v>34</v>
      </c>
      <c r="F67" s="66">
        <f t="shared" si="7"/>
        <v>0</v>
      </c>
      <c r="G67" s="618">
        <v>0</v>
      </c>
      <c r="H67" s="619">
        <v>0</v>
      </c>
      <c r="I67" s="619">
        <v>0</v>
      </c>
      <c r="J67" s="620">
        <v>0</v>
      </c>
      <c r="K67" s="621">
        <v>0</v>
      </c>
    </row>
    <row r="68" spans="1:11" outlineLevel="2" x14ac:dyDescent="0.3">
      <c r="A68" s="1112" t="s">
        <v>376</v>
      </c>
      <c r="B68" s="1105" t="s">
        <v>82</v>
      </c>
      <c r="C68" s="1106" t="s">
        <v>73</v>
      </c>
      <c r="D68" s="1105" t="s">
        <v>368</v>
      </c>
      <c r="E68" s="67" t="s">
        <v>25</v>
      </c>
      <c r="F68" s="65">
        <f t="shared" si="7"/>
        <v>0</v>
      </c>
      <c r="G68" s="609">
        <v>0</v>
      </c>
      <c r="H68" s="610">
        <v>0</v>
      </c>
      <c r="I68" s="611">
        <v>0</v>
      </c>
      <c r="J68" s="611">
        <v>0</v>
      </c>
      <c r="K68" s="612">
        <v>0</v>
      </c>
    </row>
    <row r="69" spans="1:11" outlineLevel="2" x14ac:dyDescent="0.3">
      <c r="A69" s="1112"/>
      <c r="B69" s="1105"/>
      <c r="C69" s="1106"/>
      <c r="D69" s="1105"/>
      <c r="E69" s="68" t="s">
        <v>26</v>
      </c>
      <c r="F69" s="65">
        <f t="shared" si="7"/>
        <v>0</v>
      </c>
      <c r="G69" s="614">
        <v>0</v>
      </c>
      <c r="H69" s="615">
        <v>0</v>
      </c>
      <c r="I69" s="616">
        <v>0</v>
      </c>
      <c r="J69" s="616">
        <v>0</v>
      </c>
      <c r="K69" s="617">
        <v>0</v>
      </c>
    </row>
    <row r="70" spans="1:11" outlineLevel="2" x14ac:dyDescent="0.3">
      <c r="A70" s="1112"/>
      <c r="B70" s="1105"/>
      <c r="C70" s="1106"/>
      <c r="D70" s="1105"/>
      <c r="E70" s="68" t="s">
        <v>27</v>
      </c>
      <c r="F70" s="65">
        <f t="shared" si="7"/>
        <v>0</v>
      </c>
      <c r="G70" s="614">
        <v>0</v>
      </c>
      <c r="H70" s="615">
        <v>0</v>
      </c>
      <c r="I70" s="616">
        <v>0</v>
      </c>
      <c r="J70" s="616">
        <v>0</v>
      </c>
      <c r="K70" s="617">
        <v>0</v>
      </c>
    </row>
    <row r="71" spans="1:11" outlineLevel="2" x14ac:dyDescent="0.3">
      <c r="A71" s="1112"/>
      <c r="B71" s="1105"/>
      <c r="C71" s="1106"/>
      <c r="D71" s="1105"/>
      <c r="E71" s="68" t="s">
        <v>28</v>
      </c>
      <c r="F71" s="65">
        <f t="shared" si="7"/>
        <v>0</v>
      </c>
      <c r="G71" s="614">
        <v>0</v>
      </c>
      <c r="H71" s="615">
        <v>0</v>
      </c>
      <c r="I71" s="616">
        <v>0</v>
      </c>
      <c r="J71" s="616">
        <v>0</v>
      </c>
      <c r="K71" s="617">
        <v>0</v>
      </c>
    </row>
    <row r="72" spans="1:11" outlineLevel="2" x14ac:dyDescent="0.3">
      <c r="A72" s="1112"/>
      <c r="B72" s="1105"/>
      <c r="C72" s="1106"/>
      <c r="D72" s="1105"/>
      <c r="E72" s="68" t="s">
        <v>29</v>
      </c>
      <c r="F72" s="65">
        <f t="shared" si="7"/>
        <v>0</v>
      </c>
      <c r="G72" s="614">
        <v>0</v>
      </c>
      <c r="H72" s="615">
        <v>0</v>
      </c>
      <c r="I72" s="616">
        <v>0</v>
      </c>
      <c r="J72" s="616">
        <v>0</v>
      </c>
      <c r="K72" s="617">
        <v>0</v>
      </c>
    </row>
    <row r="73" spans="1:11" outlineLevel="2" x14ac:dyDescent="0.3">
      <c r="A73" s="1112"/>
      <c r="B73" s="1105"/>
      <c r="C73" s="1106"/>
      <c r="D73" s="1105"/>
      <c r="E73" s="68" t="s">
        <v>30</v>
      </c>
      <c r="F73" s="65">
        <f t="shared" si="7"/>
        <v>0</v>
      </c>
      <c r="G73" s="614">
        <v>0</v>
      </c>
      <c r="H73" s="615">
        <v>0</v>
      </c>
      <c r="I73" s="616">
        <v>0</v>
      </c>
      <c r="J73" s="616">
        <v>0</v>
      </c>
      <c r="K73" s="617">
        <v>0</v>
      </c>
    </row>
    <row r="74" spans="1:11" outlineLevel="2" x14ac:dyDescent="0.3">
      <c r="A74" s="1112"/>
      <c r="B74" s="1105"/>
      <c r="C74" s="1106"/>
      <c r="D74" s="1105"/>
      <c r="E74" s="68" t="s">
        <v>31</v>
      </c>
      <c r="F74" s="65">
        <f t="shared" si="7"/>
        <v>0</v>
      </c>
      <c r="G74" s="614">
        <v>0</v>
      </c>
      <c r="H74" s="615">
        <v>0</v>
      </c>
      <c r="I74" s="616">
        <v>0</v>
      </c>
      <c r="J74" s="616">
        <v>0</v>
      </c>
      <c r="K74" s="617">
        <v>0</v>
      </c>
    </row>
    <row r="75" spans="1:11" outlineLevel="2" x14ac:dyDescent="0.3">
      <c r="A75" s="1112"/>
      <c r="B75" s="1105"/>
      <c r="C75" s="1106"/>
      <c r="D75" s="1105"/>
      <c r="E75" s="68" t="s">
        <v>32</v>
      </c>
      <c r="F75" s="65">
        <f t="shared" si="7"/>
        <v>0</v>
      </c>
      <c r="G75" s="614">
        <v>0</v>
      </c>
      <c r="H75" s="615">
        <v>0</v>
      </c>
      <c r="I75" s="616">
        <v>0</v>
      </c>
      <c r="J75" s="616">
        <v>0</v>
      </c>
      <c r="K75" s="617">
        <v>0</v>
      </c>
    </row>
    <row r="76" spans="1:11" outlineLevel="2" x14ac:dyDescent="0.3">
      <c r="A76" s="1112"/>
      <c r="B76" s="1105"/>
      <c r="C76" s="1106"/>
      <c r="D76" s="1105"/>
      <c r="E76" s="68" t="s">
        <v>33</v>
      </c>
      <c r="F76" s="65">
        <f t="shared" si="7"/>
        <v>0</v>
      </c>
      <c r="G76" s="614">
        <v>0</v>
      </c>
      <c r="H76" s="615">
        <v>0</v>
      </c>
      <c r="I76" s="616">
        <v>0</v>
      </c>
      <c r="J76" s="616">
        <v>0</v>
      </c>
      <c r="K76" s="617">
        <v>0</v>
      </c>
    </row>
    <row r="77" spans="1:11" ht="15" outlineLevel="2" thickBot="1" x14ac:dyDescent="0.35">
      <c r="A77" s="1112"/>
      <c r="B77" s="1105"/>
      <c r="C77" s="1106"/>
      <c r="D77" s="1105"/>
      <c r="E77" s="69" t="s">
        <v>34</v>
      </c>
      <c r="F77" s="66">
        <f t="shared" si="7"/>
        <v>0</v>
      </c>
      <c r="G77" s="618">
        <v>0</v>
      </c>
      <c r="H77" s="619">
        <v>0</v>
      </c>
      <c r="I77" s="620">
        <v>0</v>
      </c>
      <c r="J77" s="620">
        <v>0</v>
      </c>
      <c r="K77" s="621">
        <v>0</v>
      </c>
    </row>
    <row r="78" spans="1:11" ht="15" outlineLevel="1" thickBot="1" x14ac:dyDescent="0.35">
      <c r="A78" s="592" t="s">
        <v>345</v>
      </c>
      <c r="B78" s="17" t="s">
        <v>105</v>
      </c>
      <c r="C78" s="17"/>
      <c r="D78" s="17"/>
      <c r="E78" s="28"/>
      <c r="F78" s="118">
        <f t="shared" ref="F78:K78" si="8">SUM(F79:F128)</f>
        <v>1641600</v>
      </c>
      <c r="G78" s="646">
        <f t="shared" si="8"/>
        <v>1512000</v>
      </c>
      <c r="H78" s="646">
        <f t="shared" si="8"/>
        <v>0</v>
      </c>
      <c r="I78" s="647">
        <f t="shared" si="8"/>
        <v>0</v>
      </c>
      <c r="J78" s="647">
        <f t="shared" si="8"/>
        <v>0</v>
      </c>
      <c r="K78" s="648">
        <f t="shared" si="8"/>
        <v>129600</v>
      </c>
    </row>
    <row r="79" spans="1:11" outlineLevel="2" x14ac:dyDescent="0.3">
      <c r="A79" s="1112" t="s">
        <v>377</v>
      </c>
      <c r="B79" s="1105" t="s">
        <v>83</v>
      </c>
      <c r="C79" s="1106" t="s">
        <v>81</v>
      </c>
      <c r="D79" s="1105" t="s">
        <v>367</v>
      </c>
      <c r="E79" s="67" t="s">
        <v>25</v>
      </c>
      <c r="F79" s="71">
        <f t="shared" ref="F79:F110" si="9">SUM(G79:K79)</f>
        <v>0</v>
      </c>
      <c r="G79" s="627">
        <v>0</v>
      </c>
      <c r="H79" s="628">
        <v>0</v>
      </c>
      <c r="I79" s="629">
        <v>0</v>
      </c>
      <c r="J79" s="629">
        <v>0</v>
      </c>
      <c r="K79" s="630">
        <v>0</v>
      </c>
    </row>
    <row r="80" spans="1:11" outlineLevel="2" x14ac:dyDescent="0.3">
      <c r="A80" s="1112"/>
      <c r="B80" s="1105"/>
      <c r="C80" s="1106"/>
      <c r="D80" s="1105"/>
      <c r="E80" s="68" t="s">
        <v>26</v>
      </c>
      <c r="F80" s="72">
        <f t="shared" si="9"/>
        <v>182400</v>
      </c>
      <c r="G80" s="632">
        <f>(1+Faktory!$D$16)*140000*(1+G$179)</f>
        <v>168000</v>
      </c>
      <c r="H80" s="633">
        <v>0</v>
      </c>
      <c r="I80" s="634">
        <v>0</v>
      </c>
      <c r="J80" s="634">
        <v>0</v>
      </c>
      <c r="K80" s="635">
        <f>(1+Faktory!$D$16)*12000*(1+K$179)</f>
        <v>14400</v>
      </c>
    </row>
    <row r="81" spans="1:11" outlineLevel="2" x14ac:dyDescent="0.3">
      <c r="A81" s="1112"/>
      <c r="B81" s="1105"/>
      <c r="C81" s="1106"/>
      <c r="D81" s="1105"/>
      <c r="E81" s="68" t="s">
        <v>27</v>
      </c>
      <c r="F81" s="72">
        <f t="shared" si="9"/>
        <v>182400</v>
      </c>
      <c r="G81" s="632">
        <f>G80</f>
        <v>168000</v>
      </c>
      <c r="H81" s="633">
        <v>0</v>
      </c>
      <c r="I81" s="634">
        <v>0</v>
      </c>
      <c r="J81" s="634">
        <v>0</v>
      </c>
      <c r="K81" s="635">
        <f t="shared" ref="K81:K88" si="10">K80</f>
        <v>14400</v>
      </c>
    </row>
    <row r="82" spans="1:11" outlineLevel="2" x14ac:dyDescent="0.3">
      <c r="A82" s="1112"/>
      <c r="B82" s="1105"/>
      <c r="C82" s="1106"/>
      <c r="D82" s="1105"/>
      <c r="E82" s="68" t="s">
        <v>28</v>
      </c>
      <c r="F82" s="72">
        <f t="shared" si="9"/>
        <v>182400</v>
      </c>
      <c r="G82" s="632">
        <f>G81</f>
        <v>168000</v>
      </c>
      <c r="H82" s="633">
        <v>0</v>
      </c>
      <c r="I82" s="634">
        <v>0</v>
      </c>
      <c r="J82" s="634">
        <v>0</v>
      </c>
      <c r="K82" s="635">
        <f t="shared" si="10"/>
        <v>14400</v>
      </c>
    </row>
    <row r="83" spans="1:11" outlineLevel="2" x14ac:dyDescent="0.3">
      <c r="A83" s="1112"/>
      <c r="B83" s="1105"/>
      <c r="C83" s="1106"/>
      <c r="D83" s="1105"/>
      <c r="E83" s="68" t="s">
        <v>29</v>
      </c>
      <c r="F83" s="72">
        <f t="shared" si="9"/>
        <v>182400</v>
      </c>
      <c r="G83" s="632">
        <f t="shared" ref="G83:G88" si="11">G82</f>
        <v>168000</v>
      </c>
      <c r="H83" s="633">
        <v>0</v>
      </c>
      <c r="I83" s="634">
        <v>0</v>
      </c>
      <c r="J83" s="634">
        <v>0</v>
      </c>
      <c r="K83" s="635">
        <f t="shared" si="10"/>
        <v>14400</v>
      </c>
    </row>
    <row r="84" spans="1:11" outlineLevel="2" x14ac:dyDescent="0.3">
      <c r="A84" s="1112"/>
      <c r="B84" s="1105"/>
      <c r="C84" s="1106"/>
      <c r="D84" s="1105"/>
      <c r="E84" s="68" t="s">
        <v>30</v>
      </c>
      <c r="F84" s="72">
        <f t="shared" si="9"/>
        <v>182400</v>
      </c>
      <c r="G84" s="632">
        <f t="shared" si="11"/>
        <v>168000</v>
      </c>
      <c r="H84" s="633">
        <v>0</v>
      </c>
      <c r="I84" s="634">
        <v>0</v>
      </c>
      <c r="J84" s="634">
        <v>0</v>
      </c>
      <c r="K84" s="635">
        <f t="shared" si="10"/>
        <v>14400</v>
      </c>
    </row>
    <row r="85" spans="1:11" outlineLevel="2" x14ac:dyDescent="0.3">
      <c r="A85" s="1112"/>
      <c r="B85" s="1105"/>
      <c r="C85" s="1106"/>
      <c r="D85" s="1105"/>
      <c r="E85" s="68" t="s">
        <v>31</v>
      </c>
      <c r="F85" s="72">
        <f t="shared" si="9"/>
        <v>182400</v>
      </c>
      <c r="G85" s="632">
        <f t="shared" si="11"/>
        <v>168000</v>
      </c>
      <c r="H85" s="633">
        <v>0</v>
      </c>
      <c r="I85" s="634">
        <v>0</v>
      </c>
      <c r="J85" s="634">
        <v>0</v>
      </c>
      <c r="K85" s="635">
        <f t="shared" si="10"/>
        <v>14400</v>
      </c>
    </row>
    <row r="86" spans="1:11" outlineLevel="2" x14ac:dyDescent="0.3">
      <c r="A86" s="1112"/>
      <c r="B86" s="1105"/>
      <c r="C86" s="1106"/>
      <c r="D86" s="1105"/>
      <c r="E86" s="68" t="s">
        <v>32</v>
      </c>
      <c r="F86" s="72">
        <f t="shared" si="9"/>
        <v>182400</v>
      </c>
      <c r="G86" s="632">
        <f t="shared" si="11"/>
        <v>168000</v>
      </c>
      <c r="H86" s="633">
        <v>0</v>
      </c>
      <c r="I86" s="634">
        <v>0</v>
      </c>
      <c r="J86" s="634">
        <v>0</v>
      </c>
      <c r="K86" s="635">
        <f t="shared" si="10"/>
        <v>14400</v>
      </c>
    </row>
    <row r="87" spans="1:11" outlineLevel="2" x14ac:dyDescent="0.3">
      <c r="A87" s="1112"/>
      <c r="B87" s="1105"/>
      <c r="C87" s="1106"/>
      <c r="D87" s="1105"/>
      <c r="E87" s="68" t="s">
        <v>33</v>
      </c>
      <c r="F87" s="72">
        <f t="shared" si="9"/>
        <v>182400</v>
      </c>
      <c r="G87" s="632">
        <f t="shared" si="11"/>
        <v>168000</v>
      </c>
      <c r="H87" s="633">
        <v>0</v>
      </c>
      <c r="I87" s="634">
        <v>0</v>
      </c>
      <c r="J87" s="634">
        <v>0</v>
      </c>
      <c r="K87" s="635">
        <f t="shared" si="10"/>
        <v>14400</v>
      </c>
    </row>
    <row r="88" spans="1:11" ht="15" outlineLevel="2" thickBot="1" x14ac:dyDescent="0.35">
      <c r="A88" s="1112"/>
      <c r="B88" s="1105"/>
      <c r="C88" s="1106"/>
      <c r="D88" s="1105"/>
      <c r="E88" s="69" t="s">
        <v>34</v>
      </c>
      <c r="F88" s="73">
        <f t="shared" si="9"/>
        <v>182400</v>
      </c>
      <c r="G88" s="637">
        <f t="shared" si="11"/>
        <v>168000</v>
      </c>
      <c r="H88" s="638">
        <v>0</v>
      </c>
      <c r="I88" s="639">
        <v>0</v>
      </c>
      <c r="J88" s="639">
        <v>0</v>
      </c>
      <c r="K88" s="640">
        <f t="shared" si="10"/>
        <v>14400</v>
      </c>
    </row>
    <row r="89" spans="1:11" outlineLevel="2" x14ac:dyDescent="0.3">
      <c r="A89" s="1112" t="s">
        <v>378</v>
      </c>
      <c r="B89" s="1105" t="s">
        <v>84</v>
      </c>
      <c r="C89" s="1106" t="s">
        <v>78</v>
      </c>
      <c r="D89" s="1105" t="s">
        <v>369</v>
      </c>
      <c r="E89" s="67" t="s">
        <v>25</v>
      </c>
      <c r="F89" s="72">
        <f t="shared" si="9"/>
        <v>0</v>
      </c>
      <c r="G89" s="627">
        <v>0</v>
      </c>
      <c r="H89" s="628">
        <v>0</v>
      </c>
      <c r="I89" s="629">
        <v>0</v>
      </c>
      <c r="J89" s="629">
        <v>0</v>
      </c>
      <c r="K89" s="630">
        <v>0</v>
      </c>
    </row>
    <row r="90" spans="1:11" outlineLevel="2" x14ac:dyDescent="0.3">
      <c r="A90" s="1112"/>
      <c r="B90" s="1105"/>
      <c r="C90" s="1106"/>
      <c r="D90" s="1105"/>
      <c r="E90" s="68" t="s">
        <v>26</v>
      </c>
      <c r="F90" s="72">
        <f t="shared" si="9"/>
        <v>0</v>
      </c>
      <c r="G90" s="632">
        <v>0</v>
      </c>
      <c r="H90" s="633">
        <v>0</v>
      </c>
      <c r="I90" s="634">
        <v>0</v>
      </c>
      <c r="J90" s="634">
        <v>0</v>
      </c>
      <c r="K90" s="635">
        <v>0</v>
      </c>
    </row>
    <row r="91" spans="1:11" outlineLevel="2" x14ac:dyDescent="0.3">
      <c r="A91" s="1112"/>
      <c r="B91" s="1105"/>
      <c r="C91" s="1106"/>
      <c r="D91" s="1105"/>
      <c r="E91" s="68" t="s">
        <v>27</v>
      </c>
      <c r="F91" s="72">
        <f t="shared" si="9"/>
        <v>0</v>
      </c>
      <c r="G91" s="632">
        <v>0</v>
      </c>
      <c r="H91" s="633">
        <v>0</v>
      </c>
      <c r="I91" s="634">
        <v>0</v>
      </c>
      <c r="J91" s="634">
        <v>0</v>
      </c>
      <c r="K91" s="635">
        <v>0</v>
      </c>
    </row>
    <row r="92" spans="1:11" outlineLevel="2" x14ac:dyDescent="0.3">
      <c r="A92" s="1112"/>
      <c r="B92" s="1105"/>
      <c r="C92" s="1106"/>
      <c r="D92" s="1105"/>
      <c r="E92" s="68" t="s">
        <v>28</v>
      </c>
      <c r="F92" s="72">
        <f t="shared" si="9"/>
        <v>0</v>
      </c>
      <c r="G92" s="632">
        <v>0</v>
      </c>
      <c r="H92" s="633">
        <v>0</v>
      </c>
      <c r="I92" s="634">
        <v>0</v>
      </c>
      <c r="J92" s="634">
        <v>0</v>
      </c>
      <c r="K92" s="635">
        <v>0</v>
      </c>
    </row>
    <row r="93" spans="1:11" outlineLevel="2" x14ac:dyDescent="0.3">
      <c r="A93" s="1112"/>
      <c r="B93" s="1105"/>
      <c r="C93" s="1106"/>
      <c r="D93" s="1105"/>
      <c r="E93" s="68" t="s">
        <v>29</v>
      </c>
      <c r="F93" s="72">
        <f t="shared" si="9"/>
        <v>0</v>
      </c>
      <c r="G93" s="632">
        <v>0</v>
      </c>
      <c r="H93" s="633">
        <v>0</v>
      </c>
      <c r="I93" s="634">
        <v>0</v>
      </c>
      <c r="J93" s="634">
        <v>0</v>
      </c>
      <c r="K93" s="635">
        <v>0</v>
      </c>
    </row>
    <row r="94" spans="1:11" outlineLevel="2" x14ac:dyDescent="0.3">
      <c r="A94" s="1112"/>
      <c r="B94" s="1105"/>
      <c r="C94" s="1106"/>
      <c r="D94" s="1105"/>
      <c r="E94" s="68" t="s">
        <v>30</v>
      </c>
      <c r="F94" s="72">
        <f t="shared" si="9"/>
        <v>0</v>
      </c>
      <c r="G94" s="632">
        <v>0</v>
      </c>
      <c r="H94" s="633">
        <v>0</v>
      </c>
      <c r="I94" s="634">
        <v>0</v>
      </c>
      <c r="J94" s="634">
        <v>0</v>
      </c>
      <c r="K94" s="635">
        <v>0</v>
      </c>
    </row>
    <row r="95" spans="1:11" outlineLevel="2" x14ac:dyDescent="0.3">
      <c r="A95" s="1112"/>
      <c r="B95" s="1105"/>
      <c r="C95" s="1106"/>
      <c r="D95" s="1105"/>
      <c r="E95" s="68" t="s">
        <v>31</v>
      </c>
      <c r="F95" s="72">
        <f t="shared" si="9"/>
        <v>0</v>
      </c>
      <c r="G95" s="632">
        <v>0</v>
      </c>
      <c r="H95" s="633">
        <v>0</v>
      </c>
      <c r="I95" s="634">
        <v>0</v>
      </c>
      <c r="J95" s="634">
        <v>0</v>
      </c>
      <c r="K95" s="635">
        <v>0</v>
      </c>
    </row>
    <row r="96" spans="1:11" outlineLevel="2" x14ac:dyDescent="0.3">
      <c r="A96" s="1112"/>
      <c r="B96" s="1105"/>
      <c r="C96" s="1106"/>
      <c r="D96" s="1105"/>
      <c r="E96" s="68" t="s">
        <v>32</v>
      </c>
      <c r="F96" s="72">
        <f t="shared" si="9"/>
        <v>0</v>
      </c>
      <c r="G96" s="632">
        <v>0</v>
      </c>
      <c r="H96" s="633">
        <v>0</v>
      </c>
      <c r="I96" s="634">
        <v>0</v>
      </c>
      <c r="J96" s="634">
        <v>0</v>
      </c>
      <c r="K96" s="635">
        <v>0</v>
      </c>
    </row>
    <row r="97" spans="1:11" outlineLevel="2" x14ac:dyDescent="0.3">
      <c r="A97" s="1112"/>
      <c r="B97" s="1105"/>
      <c r="C97" s="1106"/>
      <c r="D97" s="1105"/>
      <c r="E97" s="68" t="s">
        <v>33</v>
      </c>
      <c r="F97" s="72">
        <f t="shared" si="9"/>
        <v>0</v>
      </c>
      <c r="G97" s="632">
        <v>0</v>
      </c>
      <c r="H97" s="633">
        <v>0</v>
      </c>
      <c r="I97" s="634">
        <v>0</v>
      </c>
      <c r="J97" s="634">
        <v>0</v>
      </c>
      <c r="K97" s="635">
        <v>0</v>
      </c>
    </row>
    <row r="98" spans="1:11" ht="15" outlineLevel="2" thickBot="1" x14ac:dyDescent="0.35">
      <c r="A98" s="1112"/>
      <c r="B98" s="1105"/>
      <c r="C98" s="1106"/>
      <c r="D98" s="1105"/>
      <c r="E98" s="69" t="s">
        <v>34</v>
      </c>
      <c r="F98" s="73">
        <f t="shared" si="9"/>
        <v>0</v>
      </c>
      <c r="G98" s="637">
        <v>0</v>
      </c>
      <c r="H98" s="638">
        <v>0</v>
      </c>
      <c r="I98" s="639">
        <v>0</v>
      </c>
      <c r="J98" s="639">
        <v>0</v>
      </c>
      <c r="K98" s="640">
        <v>0</v>
      </c>
    </row>
    <row r="99" spans="1:11" outlineLevel="2" x14ac:dyDescent="0.3">
      <c r="A99" s="1112" t="s">
        <v>379</v>
      </c>
      <c r="B99" s="1105" t="s">
        <v>85</v>
      </c>
      <c r="C99" s="1106" t="s">
        <v>73</v>
      </c>
      <c r="D99" s="1105" t="s">
        <v>368</v>
      </c>
      <c r="E99" s="67" t="s">
        <v>25</v>
      </c>
      <c r="F99" s="72">
        <f t="shared" si="9"/>
        <v>0</v>
      </c>
      <c r="G99" s="627">
        <v>0</v>
      </c>
      <c r="H99" s="628">
        <v>0</v>
      </c>
      <c r="I99" s="629">
        <v>0</v>
      </c>
      <c r="J99" s="629">
        <v>0</v>
      </c>
      <c r="K99" s="630">
        <v>0</v>
      </c>
    </row>
    <row r="100" spans="1:11" outlineLevel="2" x14ac:dyDescent="0.3">
      <c r="A100" s="1112"/>
      <c r="B100" s="1105"/>
      <c r="C100" s="1106"/>
      <c r="D100" s="1105"/>
      <c r="E100" s="68" t="s">
        <v>26</v>
      </c>
      <c r="F100" s="72">
        <f t="shared" si="9"/>
        <v>0</v>
      </c>
      <c r="G100" s="632">
        <v>0</v>
      </c>
      <c r="H100" s="633">
        <v>0</v>
      </c>
      <c r="I100" s="634">
        <v>0</v>
      </c>
      <c r="J100" s="634">
        <v>0</v>
      </c>
      <c r="K100" s="635">
        <v>0</v>
      </c>
    </row>
    <row r="101" spans="1:11" outlineLevel="2" x14ac:dyDescent="0.3">
      <c r="A101" s="1112"/>
      <c r="B101" s="1105"/>
      <c r="C101" s="1106"/>
      <c r="D101" s="1105"/>
      <c r="E101" s="68" t="s">
        <v>27</v>
      </c>
      <c r="F101" s="72">
        <f t="shared" si="9"/>
        <v>0</v>
      </c>
      <c r="G101" s="632">
        <v>0</v>
      </c>
      <c r="H101" s="633">
        <v>0</v>
      </c>
      <c r="I101" s="634">
        <v>0</v>
      </c>
      <c r="J101" s="634">
        <v>0</v>
      </c>
      <c r="K101" s="635">
        <v>0</v>
      </c>
    </row>
    <row r="102" spans="1:11" outlineLevel="2" x14ac:dyDescent="0.3">
      <c r="A102" s="1112"/>
      <c r="B102" s="1105"/>
      <c r="C102" s="1106"/>
      <c r="D102" s="1105"/>
      <c r="E102" s="68" t="s">
        <v>28</v>
      </c>
      <c r="F102" s="72">
        <f t="shared" si="9"/>
        <v>0</v>
      </c>
      <c r="G102" s="632">
        <v>0</v>
      </c>
      <c r="H102" s="633">
        <v>0</v>
      </c>
      <c r="I102" s="634">
        <v>0</v>
      </c>
      <c r="J102" s="634">
        <v>0</v>
      </c>
      <c r="K102" s="635">
        <v>0</v>
      </c>
    </row>
    <row r="103" spans="1:11" outlineLevel="2" x14ac:dyDescent="0.3">
      <c r="A103" s="1112"/>
      <c r="B103" s="1105"/>
      <c r="C103" s="1106"/>
      <c r="D103" s="1105"/>
      <c r="E103" s="68" t="s">
        <v>29</v>
      </c>
      <c r="F103" s="72">
        <f t="shared" si="9"/>
        <v>0</v>
      </c>
      <c r="G103" s="632">
        <v>0</v>
      </c>
      <c r="H103" s="633">
        <v>0</v>
      </c>
      <c r="I103" s="634">
        <v>0</v>
      </c>
      <c r="J103" s="634">
        <v>0</v>
      </c>
      <c r="K103" s="635">
        <v>0</v>
      </c>
    </row>
    <row r="104" spans="1:11" outlineLevel="2" x14ac:dyDescent="0.3">
      <c r="A104" s="1112"/>
      <c r="B104" s="1105"/>
      <c r="C104" s="1106"/>
      <c r="D104" s="1105"/>
      <c r="E104" s="68" t="s">
        <v>30</v>
      </c>
      <c r="F104" s="72">
        <f t="shared" si="9"/>
        <v>0</v>
      </c>
      <c r="G104" s="632">
        <v>0</v>
      </c>
      <c r="H104" s="633">
        <v>0</v>
      </c>
      <c r="I104" s="634">
        <v>0</v>
      </c>
      <c r="J104" s="634">
        <v>0</v>
      </c>
      <c r="K104" s="635">
        <v>0</v>
      </c>
    </row>
    <row r="105" spans="1:11" outlineLevel="2" x14ac:dyDescent="0.3">
      <c r="A105" s="1112"/>
      <c r="B105" s="1105"/>
      <c r="C105" s="1106"/>
      <c r="D105" s="1105"/>
      <c r="E105" s="68" t="s">
        <v>31</v>
      </c>
      <c r="F105" s="72">
        <f t="shared" si="9"/>
        <v>0</v>
      </c>
      <c r="G105" s="632">
        <v>0</v>
      </c>
      <c r="H105" s="633">
        <v>0</v>
      </c>
      <c r="I105" s="634">
        <v>0</v>
      </c>
      <c r="J105" s="634">
        <v>0</v>
      </c>
      <c r="K105" s="635">
        <v>0</v>
      </c>
    </row>
    <row r="106" spans="1:11" outlineLevel="2" x14ac:dyDescent="0.3">
      <c r="A106" s="1112"/>
      <c r="B106" s="1105"/>
      <c r="C106" s="1106"/>
      <c r="D106" s="1105"/>
      <c r="E106" s="68" t="s">
        <v>32</v>
      </c>
      <c r="F106" s="72">
        <f t="shared" si="9"/>
        <v>0</v>
      </c>
      <c r="G106" s="632">
        <v>0</v>
      </c>
      <c r="H106" s="633">
        <v>0</v>
      </c>
      <c r="I106" s="634">
        <v>0</v>
      </c>
      <c r="J106" s="634">
        <v>0</v>
      </c>
      <c r="K106" s="635">
        <v>0</v>
      </c>
    </row>
    <row r="107" spans="1:11" outlineLevel="2" x14ac:dyDescent="0.3">
      <c r="A107" s="1112"/>
      <c r="B107" s="1105"/>
      <c r="C107" s="1106"/>
      <c r="D107" s="1105"/>
      <c r="E107" s="68" t="s">
        <v>33</v>
      </c>
      <c r="F107" s="72">
        <f t="shared" si="9"/>
        <v>0</v>
      </c>
      <c r="G107" s="632">
        <v>0</v>
      </c>
      <c r="H107" s="633">
        <v>0</v>
      </c>
      <c r="I107" s="634">
        <v>0</v>
      </c>
      <c r="J107" s="634">
        <v>0</v>
      </c>
      <c r="K107" s="635">
        <v>0</v>
      </c>
    </row>
    <row r="108" spans="1:11" ht="15" outlineLevel="2" thickBot="1" x14ac:dyDescent="0.35">
      <c r="A108" s="1112"/>
      <c r="B108" s="1105"/>
      <c r="C108" s="1106"/>
      <c r="D108" s="1105"/>
      <c r="E108" s="69" t="s">
        <v>34</v>
      </c>
      <c r="F108" s="73">
        <f t="shared" si="9"/>
        <v>0</v>
      </c>
      <c r="G108" s="637">
        <v>0</v>
      </c>
      <c r="H108" s="638">
        <v>0</v>
      </c>
      <c r="I108" s="639">
        <v>0</v>
      </c>
      <c r="J108" s="639">
        <v>0</v>
      </c>
      <c r="K108" s="640">
        <v>0</v>
      </c>
    </row>
    <row r="109" spans="1:11" ht="14.4" customHeight="1" outlineLevel="2" x14ac:dyDescent="0.3">
      <c r="A109" s="1112" t="s">
        <v>380</v>
      </c>
      <c r="B109" s="1105" t="s">
        <v>86</v>
      </c>
      <c r="C109" s="1106" t="s">
        <v>87</v>
      </c>
      <c r="D109" s="1111">
        <v>610</v>
      </c>
      <c r="E109" s="67" t="s">
        <v>25</v>
      </c>
      <c r="F109" s="72">
        <f t="shared" si="9"/>
        <v>0</v>
      </c>
      <c r="G109" s="627">
        <v>0</v>
      </c>
      <c r="H109" s="628">
        <v>0</v>
      </c>
      <c r="I109" s="628">
        <v>0</v>
      </c>
      <c r="J109" s="629">
        <v>0</v>
      </c>
      <c r="K109" s="630">
        <v>0</v>
      </c>
    </row>
    <row r="110" spans="1:11" outlineLevel="2" x14ac:dyDescent="0.3">
      <c r="A110" s="1112"/>
      <c r="B110" s="1105"/>
      <c r="C110" s="1106"/>
      <c r="D110" s="1111"/>
      <c r="E110" s="68" t="s">
        <v>26</v>
      </c>
      <c r="F110" s="72">
        <f t="shared" si="9"/>
        <v>0</v>
      </c>
      <c r="G110" s="632">
        <v>0</v>
      </c>
      <c r="H110" s="633">
        <v>0</v>
      </c>
      <c r="I110" s="633">
        <v>0</v>
      </c>
      <c r="J110" s="634">
        <v>0</v>
      </c>
      <c r="K110" s="635">
        <v>0</v>
      </c>
    </row>
    <row r="111" spans="1:11" outlineLevel="2" x14ac:dyDescent="0.3">
      <c r="A111" s="1112"/>
      <c r="B111" s="1105"/>
      <c r="C111" s="1106"/>
      <c r="D111" s="1111"/>
      <c r="E111" s="68" t="s">
        <v>27</v>
      </c>
      <c r="F111" s="72">
        <f t="shared" ref="F111:F128" si="12">SUM(G111:K111)</f>
        <v>0</v>
      </c>
      <c r="G111" s="632">
        <v>0</v>
      </c>
      <c r="H111" s="633">
        <v>0</v>
      </c>
      <c r="I111" s="633">
        <v>0</v>
      </c>
      <c r="J111" s="634">
        <v>0</v>
      </c>
      <c r="K111" s="635">
        <v>0</v>
      </c>
    </row>
    <row r="112" spans="1:11" outlineLevel="2" x14ac:dyDescent="0.3">
      <c r="A112" s="1112"/>
      <c r="B112" s="1105"/>
      <c r="C112" s="1106"/>
      <c r="D112" s="1111"/>
      <c r="E112" s="68" t="s">
        <v>28</v>
      </c>
      <c r="F112" s="72">
        <f t="shared" si="12"/>
        <v>0</v>
      </c>
      <c r="G112" s="632">
        <v>0</v>
      </c>
      <c r="H112" s="633">
        <v>0</v>
      </c>
      <c r="I112" s="633">
        <v>0</v>
      </c>
      <c r="J112" s="634">
        <v>0</v>
      </c>
      <c r="K112" s="635">
        <v>0</v>
      </c>
    </row>
    <row r="113" spans="1:11" outlineLevel="2" x14ac:dyDescent="0.3">
      <c r="A113" s="1112"/>
      <c r="B113" s="1105"/>
      <c r="C113" s="1106"/>
      <c r="D113" s="1111"/>
      <c r="E113" s="68" t="s">
        <v>29</v>
      </c>
      <c r="F113" s="72">
        <f t="shared" si="12"/>
        <v>0</v>
      </c>
      <c r="G113" s="632">
        <v>0</v>
      </c>
      <c r="H113" s="633">
        <v>0</v>
      </c>
      <c r="I113" s="633">
        <v>0</v>
      </c>
      <c r="J113" s="634">
        <v>0</v>
      </c>
      <c r="K113" s="635">
        <v>0</v>
      </c>
    </row>
    <row r="114" spans="1:11" outlineLevel="2" x14ac:dyDescent="0.3">
      <c r="A114" s="1112"/>
      <c r="B114" s="1105"/>
      <c r="C114" s="1106"/>
      <c r="D114" s="1111"/>
      <c r="E114" s="68" t="s">
        <v>30</v>
      </c>
      <c r="F114" s="72">
        <f t="shared" si="12"/>
        <v>0</v>
      </c>
      <c r="G114" s="632">
        <v>0</v>
      </c>
      <c r="H114" s="633">
        <v>0</v>
      </c>
      <c r="I114" s="633">
        <v>0</v>
      </c>
      <c r="J114" s="634">
        <v>0</v>
      </c>
      <c r="K114" s="635">
        <v>0</v>
      </c>
    </row>
    <row r="115" spans="1:11" outlineLevel="2" x14ac:dyDescent="0.3">
      <c r="A115" s="1112"/>
      <c r="B115" s="1105"/>
      <c r="C115" s="1106"/>
      <c r="D115" s="1111"/>
      <c r="E115" s="68" t="s">
        <v>31</v>
      </c>
      <c r="F115" s="72">
        <f t="shared" si="12"/>
        <v>0</v>
      </c>
      <c r="G115" s="632">
        <v>0</v>
      </c>
      <c r="H115" s="633">
        <v>0</v>
      </c>
      <c r="I115" s="633">
        <v>0</v>
      </c>
      <c r="J115" s="634">
        <v>0</v>
      </c>
      <c r="K115" s="635">
        <v>0</v>
      </c>
    </row>
    <row r="116" spans="1:11" outlineLevel="2" x14ac:dyDescent="0.3">
      <c r="A116" s="1112"/>
      <c r="B116" s="1105"/>
      <c r="C116" s="1106"/>
      <c r="D116" s="1111"/>
      <c r="E116" s="68" t="s">
        <v>32</v>
      </c>
      <c r="F116" s="72">
        <f t="shared" si="12"/>
        <v>0</v>
      </c>
      <c r="G116" s="632">
        <v>0</v>
      </c>
      <c r="H116" s="633">
        <v>0</v>
      </c>
      <c r="I116" s="633">
        <v>0</v>
      </c>
      <c r="J116" s="634">
        <v>0</v>
      </c>
      <c r="K116" s="635">
        <v>0</v>
      </c>
    </row>
    <row r="117" spans="1:11" outlineLevel="2" x14ac:dyDescent="0.3">
      <c r="A117" s="1112"/>
      <c r="B117" s="1105"/>
      <c r="C117" s="1106"/>
      <c r="D117" s="1111"/>
      <c r="E117" s="68" t="s">
        <v>33</v>
      </c>
      <c r="F117" s="72">
        <f t="shared" si="12"/>
        <v>0</v>
      </c>
      <c r="G117" s="632">
        <v>0</v>
      </c>
      <c r="H117" s="633">
        <v>0</v>
      </c>
      <c r="I117" s="633">
        <v>0</v>
      </c>
      <c r="J117" s="634">
        <v>0</v>
      </c>
      <c r="K117" s="635">
        <v>0</v>
      </c>
    </row>
    <row r="118" spans="1:11" ht="15" outlineLevel="2" thickBot="1" x14ac:dyDescent="0.35">
      <c r="A118" s="1112"/>
      <c r="B118" s="1105"/>
      <c r="C118" s="1106"/>
      <c r="D118" s="1111"/>
      <c r="E118" s="69" t="s">
        <v>34</v>
      </c>
      <c r="F118" s="73">
        <f t="shared" si="12"/>
        <v>0</v>
      </c>
      <c r="G118" s="637">
        <v>0</v>
      </c>
      <c r="H118" s="638">
        <v>0</v>
      </c>
      <c r="I118" s="638">
        <v>0</v>
      </c>
      <c r="J118" s="639">
        <v>0</v>
      </c>
      <c r="K118" s="640">
        <v>0</v>
      </c>
    </row>
    <row r="119" spans="1:11" outlineLevel="2" x14ac:dyDescent="0.3">
      <c r="A119" s="1112" t="s">
        <v>381</v>
      </c>
      <c r="B119" s="1105" t="s">
        <v>77</v>
      </c>
      <c r="C119" s="1106" t="s">
        <v>78</v>
      </c>
      <c r="D119" s="1105" t="s">
        <v>366</v>
      </c>
      <c r="E119" s="67" t="s">
        <v>25</v>
      </c>
      <c r="F119" s="72">
        <f t="shared" si="12"/>
        <v>0</v>
      </c>
      <c r="G119" s="627">
        <v>0</v>
      </c>
      <c r="H119" s="628">
        <v>0</v>
      </c>
      <c r="I119" s="629">
        <v>0</v>
      </c>
      <c r="J119" s="629">
        <v>0</v>
      </c>
      <c r="K119" s="630">
        <v>0</v>
      </c>
    </row>
    <row r="120" spans="1:11" outlineLevel="2" x14ac:dyDescent="0.3">
      <c r="A120" s="1112"/>
      <c r="B120" s="1105"/>
      <c r="C120" s="1106"/>
      <c r="D120" s="1105"/>
      <c r="E120" s="68" t="s">
        <v>26</v>
      </c>
      <c r="F120" s="72">
        <f t="shared" si="12"/>
        <v>0</v>
      </c>
      <c r="G120" s="632">
        <v>0</v>
      </c>
      <c r="H120" s="633">
        <v>0</v>
      </c>
      <c r="I120" s="634">
        <v>0</v>
      </c>
      <c r="J120" s="634">
        <v>0</v>
      </c>
      <c r="K120" s="635">
        <v>0</v>
      </c>
    </row>
    <row r="121" spans="1:11" outlineLevel="2" x14ac:dyDescent="0.3">
      <c r="A121" s="1112"/>
      <c r="B121" s="1105"/>
      <c r="C121" s="1106"/>
      <c r="D121" s="1105"/>
      <c r="E121" s="68" t="s">
        <v>27</v>
      </c>
      <c r="F121" s="72">
        <f t="shared" si="12"/>
        <v>0</v>
      </c>
      <c r="G121" s="632">
        <v>0</v>
      </c>
      <c r="H121" s="633">
        <v>0</v>
      </c>
      <c r="I121" s="634">
        <v>0</v>
      </c>
      <c r="J121" s="634">
        <v>0</v>
      </c>
      <c r="K121" s="635">
        <v>0</v>
      </c>
    </row>
    <row r="122" spans="1:11" outlineLevel="2" x14ac:dyDescent="0.3">
      <c r="A122" s="1112"/>
      <c r="B122" s="1105"/>
      <c r="C122" s="1106"/>
      <c r="D122" s="1105"/>
      <c r="E122" s="68" t="s">
        <v>28</v>
      </c>
      <c r="F122" s="72">
        <f t="shared" si="12"/>
        <v>0</v>
      </c>
      <c r="G122" s="632">
        <v>0</v>
      </c>
      <c r="H122" s="633">
        <v>0</v>
      </c>
      <c r="I122" s="634">
        <v>0</v>
      </c>
      <c r="J122" s="634">
        <v>0</v>
      </c>
      <c r="K122" s="635">
        <v>0</v>
      </c>
    </row>
    <row r="123" spans="1:11" outlineLevel="2" x14ac:dyDescent="0.3">
      <c r="A123" s="1112"/>
      <c r="B123" s="1105"/>
      <c r="C123" s="1106"/>
      <c r="D123" s="1105"/>
      <c r="E123" s="68" t="s">
        <v>29</v>
      </c>
      <c r="F123" s="72">
        <f t="shared" si="12"/>
        <v>0</v>
      </c>
      <c r="G123" s="632">
        <v>0</v>
      </c>
      <c r="H123" s="633">
        <v>0</v>
      </c>
      <c r="I123" s="634">
        <v>0</v>
      </c>
      <c r="J123" s="634">
        <v>0</v>
      </c>
      <c r="K123" s="635">
        <v>0</v>
      </c>
    </row>
    <row r="124" spans="1:11" outlineLevel="2" x14ac:dyDescent="0.3">
      <c r="A124" s="1112"/>
      <c r="B124" s="1105"/>
      <c r="C124" s="1106"/>
      <c r="D124" s="1105"/>
      <c r="E124" s="68" t="s">
        <v>30</v>
      </c>
      <c r="F124" s="72">
        <f t="shared" si="12"/>
        <v>0</v>
      </c>
      <c r="G124" s="632">
        <v>0</v>
      </c>
      <c r="H124" s="633">
        <v>0</v>
      </c>
      <c r="I124" s="634">
        <v>0</v>
      </c>
      <c r="J124" s="634">
        <v>0</v>
      </c>
      <c r="K124" s="635">
        <v>0</v>
      </c>
    </row>
    <row r="125" spans="1:11" outlineLevel="2" x14ac:dyDescent="0.3">
      <c r="A125" s="1112"/>
      <c r="B125" s="1105"/>
      <c r="C125" s="1106"/>
      <c r="D125" s="1105"/>
      <c r="E125" s="68" t="s">
        <v>31</v>
      </c>
      <c r="F125" s="72">
        <f t="shared" si="12"/>
        <v>0</v>
      </c>
      <c r="G125" s="632">
        <v>0</v>
      </c>
      <c r="H125" s="633">
        <v>0</v>
      </c>
      <c r="I125" s="634">
        <v>0</v>
      </c>
      <c r="J125" s="634">
        <v>0</v>
      </c>
      <c r="K125" s="635">
        <v>0</v>
      </c>
    </row>
    <row r="126" spans="1:11" outlineLevel="2" x14ac:dyDescent="0.3">
      <c r="A126" s="1112"/>
      <c r="B126" s="1105"/>
      <c r="C126" s="1106"/>
      <c r="D126" s="1105"/>
      <c r="E126" s="68" t="s">
        <v>32</v>
      </c>
      <c r="F126" s="72">
        <f t="shared" si="12"/>
        <v>0</v>
      </c>
      <c r="G126" s="632">
        <v>0</v>
      </c>
      <c r="H126" s="633">
        <v>0</v>
      </c>
      <c r="I126" s="634">
        <v>0</v>
      </c>
      <c r="J126" s="634">
        <v>0</v>
      </c>
      <c r="K126" s="635">
        <v>0</v>
      </c>
    </row>
    <row r="127" spans="1:11" outlineLevel="2" x14ac:dyDescent="0.3">
      <c r="A127" s="1112"/>
      <c r="B127" s="1105"/>
      <c r="C127" s="1106"/>
      <c r="D127" s="1105"/>
      <c r="E127" s="68" t="s">
        <v>33</v>
      </c>
      <c r="F127" s="72">
        <f t="shared" si="12"/>
        <v>0</v>
      </c>
      <c r="G127" s="632">
        <v>0</v>
      </c>
      <c r="H127" s="633">
        <v>0</v>
      </c>
      <c r="I127" s="634">
        <v>0</v>
      </c>
      <c r="J127" s="634">
        <v>0</v>
      </c>
      <c r="K127" s="635">
        <v>0</v>
      </c>
    </row>
    <row r="128" spans="1:11" ht="15" outlineLevel="2" thickBot="1" x14ac:dyDescent="0.35">
      <c r="A128" s="1112"/>
      <c r="B128" s="1105"/>
      <c r="C128" s="1106"/>
      <c r="D128" s="1105"/>
      <c r="E128" s="69" t="s">
        <v>34</v>
      </c>
      <c r="F128" s="73">
        <f t="shared" si="12"/>
        <v>0</v>
      </c>
      <c r="G128" s="637">
        <v>0</v>
      </c>
      <c r="H128" s="638">
        <v>0</v>
      </c>
      <c r="I128" s="639">
        <v>0</v>
      </c>
      <c r="J128" s="639">
        <v>0</v>
      </c>
      <c r="K128" s="640">
        <v>0</v>
      </c>
    </row>
    <row r="129" spans="1:11" ht="15" thickBot="1" x14ac:dyDescent="0.35">
      <c r="A129" s="592" t="s">
        <v>389</v>
      </c>
      <c r="B129" s="17" t="s">
        <v>277</v>
      </c>
      <c r="C129" s="17"/>
      <c r="D129" s="17"/>
      <c r="E129" s="28"/>
      <c r="F129" s="118">
        <f t="shared" ref="F129:K129" si="13">SUM(F130:F149)</f>
        <v>175152</v>
      </c>
      <c r="G129" s="646">
        <f t="shared" si="13"/>
        <v>153217.93254901961</v>
      </c>
      <c r="H129" s="646">
        <f t="shared" si="13"/>
        <v>0</v>
      </c>
      <c r="I129" s="647">
        <f t="shared" si="13"/>
        <v>0</v>
      </c>
      <c r="J129" s="647">
        <f t="shared" si="13"/>
        <v>0</v>
      </c>
      <c r="K129" s="648">
        <f t="shared" si="13"/>
        <v>21934.06745098039</v>
      </c>
    </row>
    <row r="130" spans="1:11" x14ac:dyDescent="0.3">
      <c r="A130" s="1112" t="s">
        <v>346</v>
      </c>
      <c r="B130" s="1105" t="s">
        <v>278</v>
      </c>
      <c r="C130" s="1106"/>
      <c r="D130" s="1106"/>
      <c r="E130" s="67" t="s">
        <v>25</v>
      </c>
      <c r="F130" s="71">
        <f t="shared" ref="F130:F149" si="14">SUM(G130:K130)</f>
        <v>145152</v>
      </c>
      <c r="G130" s="627">
        <f>'Rozpočet - vývoj Aplikácií'!$AQ$17*SUM(G$172:G$173)/SUM($F$172:$F$173)*(1+G$179)</f>
        <v>126974.79529411765</v>
      </c>
      <c r="H130" s="628">
        <v>0</v>
      </c>
      <c r="I130" s="629">
        <v>0</v>
      </c>
      <c r="J130" s="629">
        <v>0</v>
      </c>
      <c r="K130" s="630">
        <f>'Rozpočet - vývoj Aplikácií'!$AQ$17*SUM(K$172:K$173)/SUM($F$172:$F$173)*(1+K$179)</f>
        <v>18177.204705882352</v>
      </c>
    </row>
    <row r="131" spans="1:11" x14ac:dyDescent="0.3">
      <c r="A131" s="1112"/>
      <c r="B131" s="1105"/>
      <c r="C131" s="1106"/>
      <c r="D131" s="1106"/>
      <c r="E131" s="68" t="s">
        <v>26</v>
      </c>
      <c r="F131" s="72">
        <f t="shared" si="14"/>
        <v>0</v>
      </c>
      <c r="G131" s="632">
        <f>'Rozpočet - vývoj Aplikácií'!$AX$17*SUM(G$172:G$173)/SUM($F$172:$F$173)*(1+G$179)</f>
        <v>0</v>
      </c>
      <c r="H131" s="633">
        <v>0</v>
      </c>
      <c r="I131" s="634">
        <v>0</v>
      </c>
      <c r="J131" s="634">
        <v>0</v>
      </c>
      <c r="K131" s="635">
        <f>'Rozpočet - vývoj Aplikácií'!$AX$17*SUM(K$172:K$173)/SUM($F$172:$F$173)*(1+K$179)</f>
        <v>0</v>
      </c>
    </row>
    <row r="132" spans="1:11" x14ac:dyDescent="0.3">
      <c r="A132" s="1112"/>
      <c r="B132" s="1105"/>
      <c r="C132" s="1106"/>
      <c r="D132" s="1106"/>
      <c r="E132" s="68" t="s">
        <v>27</v>
      </c>
      <c r="F132" s="72">
        <f t="shared" si="14"/>
        <v>0</v>
      </c>
      <c r="G132" s="632">
        <v>0</v>
      </c>
      <c r="H132" s="633">
        <v>0</v>
      </c>
      <c r="I132" s="634">
        <v>0</v>
      </c>
      <c r="J132" s="634">
        <v>0</v>
      </c>
      <c r="K132" s="635">
        <v>0</v>
      </c>
    </row>
    <row r="133" spans="1:11" x14ac:dyDescent="0.3">
      <c r="A133" s="1112"/>
      <c r="B133" s="1105"/>
      <c r="C133" s="1106"/>
      <c r="D133" s="1106"/>
      <c r="E133" s="68" t="s">
        <v>28</v>
      </c>
      <c r="F133" s="72">
        <f t="shared" si="14"/>
        <v>0</v>
      </c>
      <c r="G133" s="632">
        <v>0</v>
      </c>
      <c r="H133" s="633">
        <v>0</v>
      </c>
      <c r="I133" s="634">
        <v>0</v>
      </c>
      <c r="J133" s="634">
        <v>0</v>
      </c>
      <c r="K133" s="635">
        <v>0</v>
      </c>
    </row>
    <row r="134" spans="1:11" x14ac:dyDescent="0.3">
      <c r="A134" s="1112"/>
      <c r="B134" s="1105"/>
      <c r="C134" s="1106"/>
      <c r="D134" s="1106"/>
      <c r="E134" s="68" t="s">
        <v>29</v>
      </c>
      <c r="F134" s="72">
        <f t="shared" si="14"/>
        <v>0</v>
      </c>
      <c r="G134" s="632">
        <v>0</v>
      </c>
      <c r="H134" s="633">
        <v>0</v>
      </c>
      <c r="I134" s="634">
        <v>0</v>
      </c>
      <c r="J134" s="634">
        <v>0</v>
      </c>
      <c r="K134" s="635">
        <v>0</v>
      </c>
    </row>
    <row r="135" spans="1:11" x14ac:dyDescent="0.3">
      <c r="A135" s="1112"/>
      <c r="B135" s="1105"/>
      <c r="C135" s="1106"/>
      <c r="D135" s="1106"/>
      <c r="E135" s="68" t="s">
        <v>30</v>
      </c>
      <c r="F135" s="72">
        <f t="shared" si="14"/>
        <v>0</v>
      </c>
      <c r="G135" s="632">
        <v>0</v>
      </c>
      <c r="H135" s="633">
        <v>0</v>
      </c>
      <c r="I135" s="634">
        <v>0</v>
      </c>
      <c r="J135" s="634">
        <v>0</v>
      </c>
      <c r="K135" s="635">
        <v>0</v>
      </c>
    </row>
    <row r="136" spans="1:11" x14ac:dyDescent="0.3">
      <c r="A136" s="1112"/>
      <c r="B136" s="1105"/>
      <c r="C136" s="1106"/>
      <c r="D136" s="1106"/>
      <c r="E136" s="68" t="s">
        <v>31</v>
      </c>
      <c r="F136" s="72">
        <f t="shared" si="14"/>
        <v>0</v>
      </c>
      <c r="G136" s="632">
        <v>0</v>
      </c>
      <c r="H136" s="633">
        <v>0</v>
      </c>
      <c r="I136" s="634">
        <v>0</v>
      </c>
      <c r="J136" s="634">
        <v>0</v>
      </c>
      <c r="K136" s="635">
        <v>0</v>
      </c>
    </row>
    <row r="137" spans="1:11" x14ac:dyDescent="0.3">
      <c r="A137" s="1112"/>
      <c r="B137" s="1105"/>
      <c r="C137" s="1106"/>
      <c r="D137" s="1106"/>
      <c r="E137" s="68" t="s">
        <v>32</v>
      </c>
      <c r="F137" s="72">
        <f t="shared" si="14"/>
        <v>0</v>
      </c>
      <c r="G137" s="632">
        <v>0</v>
      </c>
      <c r="H137" s="633">
        <v>0</v>
      </c>
      <c r="I137" s="634">
        <v>0</v>
      </c>
      <c r="J137" s="634">
        <v>0</v>
      </c>
      <c r="K137" s="635">
        <v>0</v>
      </c>
    </row>
    <row r="138" spans="1:11" x14ac:dyDescent="0.3">
      <c r="A138" s="1112"/>
      <c r="B138" s="1105"/>
      <c r="C138" s="1106"/>
      <c r="D138" s="1106"/>
      <c r="E138" s="68" t="s">
        <v>33</v>
      </c>
      <c r="F138" s="72">
        <f t="shared" si="14"/>
        <v>0</v>
      </c>
      <c r="G138" s="632">
        <v>0</v>
      </c>
      <c r="H138" s="633">
        <v>0</v>
      </c>
      <c r="I138" s="634">
        <v>0</v>
      </c>
      <c r="J138" s="634">
        <v>0</v>
      </c>
      <c r="K138" s="635">
        <v>0</v>
      </c>
    </row>
    <row r="139" spans="1:11" ht="15" thickBot="1" x14ac:dyDescent="0.35">
      <c r="A139" s="1112"/>
      <c r="B139" s="1105"/>
      <c r="C139" s="1106"/>
      <c r="D139" s="1106"/>
      <c r="E139" s="69" t="s">
        <v>34</v>
      </c>
      <c r="F139" s="73">
        <f t="shared" si="14"/>
        <v>0</v>
      </c>
      <c r="G139" s="637">
        <v>0</v>
      </c>
      <c r="H139" s="638">
        <v>0</v>
      </c>
      <c r="I139" s="639">
        <v>0</v>
      </c>
      <c r="J139" s="639">
        <v>0</v>
      </c>
      <c r="K139" s="640">
        <v>0</v>
      </c>
    </row>
    <row r="140" spans="1:11" x14ac:dyDescent="0.3">
      <c r="A140" s="1112" t="s">
        <v>347</v>
      </c>
      <c r="B140" s="1105" t="s">
        <v>150</v>
      </c>
      <c r="C140" s="1106"/>
      <c r="D140" s="1105" t="s">
        <v>382</v>
      </c>
      <c r="E140" s="67" t="s">
        <v>25</v>
      </c>
      <c r="F140" s="72">
        <f t="shared" si="14"/>
        <v>30000</v>
      </c>
      <c r="G140" s="627">
        <f>(1+Faktory!$D$16)*25000*SUM(G$172:G$173)/SUM($F$172:$F$173)*(1+G$179)</f>
        <v>26243.137254901962</v>
      </c>
      <c r="H140" s="628">
        <f t="shared" ref="H140:J140" si="15">25000*SUM(H$172:H$173)/SUM($F$172:$F$173)*(1+H$179)</f>
        <v>0</v>
      </c>
      <c r="I140" s="629">
        <f t="shared" si="15"/>
        <v>0</v>
      </c>
      <c r="J140" s="629">
        <f t="shared" si="15"/>
        <v>0</v>
      </c>
      <c r="K140" s="630">
        <f>(1+Faktory!$D$16)*25000*SUM(K$172:K$173)/SUM($F$172:$F$173)*(1+K$179)</f>
        <v>3756.8627450980393</v>
      </c>
    </row>
    <row r="141" spans="1:11" x14ac:dyDescent="0.3">
      <c r="A141" s="1112"/>
      <c r="B141" s="1105"/>
      <c r="C141" s="1106"/>
      <c r="D141" s="1105"/>
      <c r="E141" s="68" t="s">
        <v>26</v>
      </c>
      <c r="F141" s="72">
        <f t="shared" si="14"/>
        <v>0</v>
      </c>
      <c r="G141" s="632">
        <v>0</v>
      </c>
      <c r="H141" s="633">
        <v>0</v>
      </c>
      <c r="I141" s="634">
        <v>0</v>
      </c>
      <c r="J141" s="634">
        <v>0</v>
      </c>
      <c r="K141" s="635">
        <v>0</v>
      </c>
    </row>
    <row r="142" spans="1:11" x14ac:dyDescent="0.3">
      <c r="A142" s="1112"/>
      <c r="B142" s="1105"/>
      <c r="C142" s="1106"/>
      <c r="D142" s="1105"/>
      <c r="E142" s="68" t="s">
        <v>27</v>
      </c>
      <c r="F142" s="72">
        <f t="shared" si="14"/>
        <v>0</v>
      </c>
      <c r="G142" s="632">
        <v>0</v>
      </c>
      <c r="H142" s="633">
        <v>0</v>
      </c>
      <c r="I142" s="634">
        <v>0</v>
      </c>
      <c r="J142" s="634">
        <v>0</v>
      </c>
      <c r="K142" s="635">
        <v>0</v>
      </c>
    </row>
    <row r="143" spans="1:11" x14ac:dyDescent="0.3">
      <c r="A143" s="1112"/>
      <c r="B143" s="1105"/>
      <c r="C143" s="1106"/>
      <c r="D143" s="1105"/>
      <c r="E143" s="68" t="s">
        <v>28</v>
      </c>
      <c r="F143" s="72">
        <f t="shared" si="14"/>
        <v>0</v>
      </c>
      <c r="G143" s="632">
        <v>0</v>
      </c>
      <c r="H143" s="633">
        <v>0</v>
      </c>
      <c r="I143" s="634">
        <v>0</v>
      </c>
      <c r="J143" s="634">
        <v>0</v>
      </c>
      <c r="K143" s="635">
        <v>0</v>
      </c>
    </row>
    <row r="144" spans="1:11" x14ac:dyDescent="0.3">
      <c r="A144" s="1112"/>
      <c r="B144" s="1105"/>
      <c r="C144" s="1106"/>
      <c r="D144" s="1105"/>
      <c r="E144" s="68" t="s">
        <v>29</v>
      </c>
      <c r="F144" s="72">
        <f t="shared" si="14"/>
        <v>0</v>
      </c>
      <c r="G144" s="632">
        <v>0</v>
      </c>
      <c r="H144" s="633">
        <v>0</v>
      </c>
      <c r="I144" s="634">
        <v>0</v>
      </c>
      <c r="J144" s="634">
        <v>0</v>
      </c>
      <c r="K144" s="635">
        <v>0</v>
      </c>
    </row>
    <row r="145" spans="1:11" x14ac:dyDescent="0.3">
      <c r="A145" s="1112"/>
      <c r="B145" s="1105"/>
      <c r="C145" s="1106"/>
      <c r="D145" s="1105"/>
      <c r="E145" s="68" t="s">
        <v>30</v>
      </c>
      <c r="F145" s="72">
        <f t="shared" si="14"/>
        <v>0</v>
      </c>
      <c r="G145" s="632">
        <v>0</v>
      </c>
      <c r="H145" s="633">
        <v>0</v>
      </c>
      <c r="I145" s="634">
        <v>0</v>
      </c>
      <c r="J145" s="634">
        <v>0</v>
      </c>
      <c r="K145" s="635">
        <v>0</v>
      </c>
    </row>
    <row r="146" spans="1:11" x14ac:dyDescent="0.3">
      <c r="A146" s="1112"/>
      <c r="B146" s="1105"/>
      <c r="C146" s="1106"/>
      <c r="D146" s="1105"/>
      <c r="E146" s="68" t="s">
        <v>31</v>
      </c>
      <c r="F146" s="72">
        <f t="shared" si="14"/>
        <v>0</v>
      </c>
      <c r="G146" s="632">
        <v>0</v>
      </c>
      <c r="H146" s="633">
        <v>0</v>
      </c>
      <c r="I146" s="634">
        <v>0</v>
      </c>
      <c r="J146" s="634">
        <v>0</v>
      </c>
      <c r="K146" s="635">
        <v>0</v>
      </c>
    </row>
    <row r="147" spans="1:11" x14ac:dyDescent="0.3">
      <c r="A147" s="1112"/>
      <c r="B147" s="1105"/>
      <c r="C147" s="1106"/>
      <c r="D147" s="1105"/>
      <c r="E147" s="68" t="s">
        <v>32</v>
      </c>
      <c r="F147" s="72">
        <f t="shared" si="14"/>
        <v>0</v>
      </c>
      <c r="G147" s="632">
        <v>0</v>
      </c>
      <c r="H147" s="633">
        <v>0</v>
      </c>
      <c r="I147" s="634">
        <v>0</v>
      </c>
      <c r="J147" s="634">
        <v>0</v>
      </c>
      <c r="K147" s="635">
        <v>0</v>
      </c>
    </row>
    <row r="148" spans="1:11" x14ac:dyDescent="0.3">
      <c r="A148" s="1112"/>
      <c r="B148" s="1105"/>
      <c r="C148" s="1106"/>
      <c r="D148" s="1105"/>
      <c r="E148" s="68" t="s">
        <v>33</v>
      </c>
      <c r="F148" s="72">
        <f t="shared" si="14"/>
        <v>0</v>
      </c>
      <c r="G148" s="632">
        <v>0</v>
      </c>
      <c r="H148" s="633">
        <v>0</v>
      </c>
      <c r="I148" s="634">
        <v>0</v>
      </c>
      <c r="J148" s="634">
        <v>0</v>
      </c>
      <c r="K148" s="635">
        <v>0</v>
      </c>
    </row>
    <row r="149" spans="1:11" ht="15" thickBot="1" x14ac:dyDescent="0.35">
      <c r="A149" s="1112"/>
      <c r="B149" s="1105"/>
      <c r="C149" s="1106"/>
      <c r="D149" s="1105"/>
      <c r="E149" s="69" t="s">
        <v>34</v>
      </c>
      <c r="F149" s="73">
        <f t="shared" si="14"/>
        <v>0</v>
      </c>
      <c r="G149" s="637">
        <v>0</v>
      </c>
      <c r="H149" s="638">
        <v>0</v>
      </c>
      <c r="I149" s="639">
        <v>0</v>
      </c>
      <c r="J149" s="639">
        <v>0</v>
      </c>
      <c r="K149" s="640">
        <v>0</v>
      </c>
    </row>
    <row r="150" spans="1:11" ht="15" thickBot="1" x14ac:dyDescent="0.35">
      <c r="A150" s="592" t="s">
        <v>390</v>
      </c>
      <c r="B150" s="1103" t="s">
        <v>303</v>
      </c>
      <c r="C150" s="1104"/>
      <c r="D150" s="1104"/>
      <c r="E150" s="79"/>
      <c r="F150" s="77">
        <f t="shared" ref="F150:K150" si="16">SUM(F151:F170)</f>
        <v>0</v>
      </c>
      <c r="G150" s="605">
        <f t="shared" si="16"/>
        <v>0</v>
      </c>
      <c r="H150" s="605">
        <f t="shared" si="16"/>
        <v>0</v>
      </c>
      <c r="I150" s="606">
        <f t="shared" si="16"/>
        <v>0</v>
      </c>
      <c r="J150" s="606">
        <f t="shared" si="16"/>
        <v>0</v>
      </c>
      <c r="K150" s="607">
        <f t="shared" si="16"/>
        <v>0</v>
      </c>
    </row>
    <row r="151" spans="1:11" x14ac:dyDescent="0.3">
      <c r="A151" s="1112" t="s">
        <v>348</v>
      </c>
      <c r="B151" s="1105" t="s">
        <v>305</v>
      </c>
      <c r="C151" s="1106" t="s">
        <v>78</v>
      </c>
      <c r="D151" s="1106" t="s">
        <v>365</v>
      </c>
      <c r="E151" s="67" t="s">
        <v>25</v>
      </c>
      <c r="F151" s="64">
        <f t="shared" ref="F151:F170" si="17">SUM(G151:K151)</f>
        <v>0</v>
      </c>
      <c r="G151" s="609">
        <v>0</v>
      </c>
      <c r="H151" s="610">
        <v>0</v>
      </c>
      <c r="I151" s="611">
        <v>0</v>
      </c>
      <c r="J151" s="611">
        <v>0</v>
      </c>
      <c r="K151" s="612">
        <v>0</v>
      </c>
    </row>
    <row r="152" spans="1:11" x14ac:dyDescent="0.3">
      <c r="A152" s="1112"/>
      <c r="B152" s="1105"/>
      <c r="C152" s="1106"/>
      <c r="D152" s="1106"/>
      <c r="E152" s="68" t="s">
        <v>26</v>
      </c>
      <c r="F152" s="65">
        <f t="shared" si="17"/>
        <v>0</v>
      </c>
      <c r="G152" s="614">
        <v>0</v>
      </c>
      <c r="H152" s="615">
        <v>0</v>
      </c>
      <c r="I152" s="616">
        <v>0</v>
      </c>
      <c r="J152" s="616">
        <v>0</v>
      </c>
      <c r="K152" s="617">
        <v>0</v>
      </c>
    </row>
    <row r="153" spans="1:11" x14ac:dyDescent="0.3">
      <c r="A153" s="1112"/>
      <c r="B153" s="1105"/>
      <c r="C153" s="1106"/>
      <c r="D153" s="1106"/>
      <c r="E153" s="68" t="s">
        <v>27</v>
      </c>
      <c r="F153" s="65">
        <f t="shared" si="17"/>
        <v>0</v>
      </c>
      <c r="G153" s="614">
        <v>0</v>
      </c>
      <c r="H153" s="615">
        <v>0</v>
      </c>
      <c r="I153" s="616">
        <v>0</v>
      </c>
      <c r="J153" s="616">
        <v>0</v>
      </c>
      <c r="K153" s="617">
        <v>0</v>
      </c>
    </row>
    <row r="154" spans="1:11" x14ac:dyDescent="0.3">
      <c r="A154" s="1112"/>
      <c r="B154" s="1105"/>
      <c r="C154" s="1106"/>
      <c r="D154" s="1106"/>
      <c r="E154" s="68" t="s">
        <v>28</v>
      </c>
      <c r="F154" s="65">
        <f t="shared" si="17"/>
        <v>0</v>
      </c>
      <c r="G154" s="614">
        <v>0</v>
      </c>
      <c r="H154" s="615">
        <v>0</v>
      </c>
      <c r="I154" s="616">
        <v>0</v>
      </c>
      <c r="J154" s="616">
        <v>0</v>
      </c>
      <c r="K154" s="617">
        <v>0</v>
      </c>
    </row>
    <row r="155" spans="1:11" x14ac:dyDescent="0.3">
      <c r="A155" s="1112"/>
      <c r="B155" s="1105"/>
      <c r="C155" s="1106"/>
      <c r="D155" s="1106"/>
      <c r="E155" s="68" t="s">
        <v>29</v>
      </c>
      <c r="F155" s="65">
        <f t="shared" si="17"/>
        <v>0</v>
      </c>
      <c r="G155" s="614">
        <v>0</v>
      </c>
      <c r="H155" s="615">
        <v>0</v>
      </c>
      <c r="I155" s="616">
        <v>0</v>
      </c>
      <c r="J155" s="616">
        <v>0</v>
      </c>
      <c r="K155" s="617">
        <v>0</v>
      </c>
    </row>
    <row r="156" spans="1:11" x14ac:dyDescent="0.3">
      <c r="A156" s="1112"/>
      <c r="B156" s="1105"/>
      <c r="C156" s="1106"/>
      <c r="D156" s="1106"/>
      <c r="E156" s="68" t="s">
        <v>30</v>
      </c>
      <c r="F156" s="65">
        <f t="shared" si="17"/>
        <v>0</v>
      </c>
      <c r="G156" s="614">
        <v>0</v>
      </c>
      <c r="H156" s="615">
        <v>0</v>
      </c>
      <c r="I156" s="616">
        <v>0</v>
      </c>
      <c r="J156" s="616">
        <v>0</v>
      </c>
      <c r="K156" s="617">
        <v>0</v>
      </c>
    </row>
    <row r="157" spans="1:11" x14ac:dyDescent="0.3">
      <c r="A157" s="1112"/>
      <c r="B157" s="1105"/>
      <c r="C157" s="1106"/>
      <c r="D157" s="1106"/>
      <c r="E157" s="68" t="s">
        <v>31</v>
      </c>
      <c r="F157" s="65">
        <f t="shared" si="17"/>
        <v>0</v>
      </c>
      <c r="G157" s="614">
        <v>0</v>
      </c>
      <c r="H157" s="615">
        <v>0</v>
      </c>
      <c r="I157" s="616">
        <v>0</v>
      </c>
      <c r="J157" s="616">
        <v>0</v>
      </c>
      <c r="K157" s="617">
        <v>0</v>
      </c>
    </row>
    <row r="158" spans="1:11" x14ac:dyDescent="0.3">
      <c r="A158" s="1112"/>
      <c r="B158" s="1105"/>
      <c r="C158" s="1106"/>
      <c r="D158" s="1106"/>
      <c r="E158" s="68" t="s">
        <v>32</v>
      </c>
      <c r="F158" s="65">
        <f t="shared" si="17"/>
        <v>0</v>
      </c>
      <c r="G158" s="614">
        <v>0</v>
      </c>
      <c r="H158" s="615">
        <v>0</v>
      </c>
      <c r="I158" s="616">
        <v>0</v>
      </c>
      <c r="J158" s="616">
        <v>0</v>
      </c>
      <c r="K158" s="617">
        <v>0</v>
      </c>
    </row>
    <row r="159" spans="1:11" x14ac:dyDescent="0.3">
      <c r="A159" s="1112"/>
      <c r="B159" s="1105"/>
      <c r="C159" s="1106"/>
      <c r="D159" s="1106"/>
      <c r="E159" s="68" t="s">
        <v>33</v>
      </c>
      <c r="F159" s="65">
        <f t="shared" si="17"/>
        <v>0</v>
      </c>
      <c r="G159" s="614">
        <v>0</v>
      </c>
      <c r="H159" s="615">
        <v>0</v>
      </c>
      <c r="I159" s="616">
        <v>0</v>
      </c>
      <c r="J159" s="616">
        <v>0</v>
      </c>
      <c r="K159" s="617">
        <v>0</v>
      </c>
    </row>
    <row r="160" spans="1:11" ht="15" thickBot="1" x14ac:dyDescent="0.35">
      <c r="A160" s="1112"/>
      <c r="B160" s="1105"/>
      <c r="C160" s="1106"/>
      <c r="D160" s="1106"/>
      <c r="E160" s="69" t="s">
        <v>34</v>
      </c>
      <c r="F160" s="66">
        <f t="shared" si="17"/>
        <v>0</v>
      </c>
      <c r="G160" s="618">
        <v>0</v>
      </c>
      <c r="H160" s="619">
        <v>0</v>
      </c>
      <c r="I160" s="620">
        <v>0</v>
      </c>
      <c r="J160" s="620">
        <v>0</v>
      </c>
      <c r="K160" s="621">
        <v>0</v>
      </c>
    </row>
    <row r="161" spans="1:11" x14ac:dyDescent="0.3">
      <c r="A161" s="1112" t="s">
        <v>349</v>
      </c>
      <c r="B161" s="1105" t="s">
        <v>304</v>
      </c>
      <c r="C161" s="1106"/>
      <c r="D161" s="1105" t="s">
        <v>383</v>
      </c>
      <c r="E161" s="67" t="s">
        <v>25</v>
      </c>
      <c r="F161" s="65">
        <f t="shared" si="17"/>
        <v>0</v>
      </c>
      <c r="G161" s="609">
        <v>0</v>
      </c>
      <c r="H161" s="610">
        <v>0</v>
      </c>
      <c r="I161" s="611">
        <v>0</v>
      </c>
      <c r="J161" s="611">
        <v>0</v>
      </c>
      <c r="K161" s="612">
        <v>0</v>
      </c>
    </row>
    <row r="162" spans="1:11" x14ac:dyDescent="0.3">
      <c r="A162" s="1112"/>
      <c r="B162" s="1105"/>
      <c r="C162" s="1106"/>
      <c r="D162" s="1105"/>
      <c r="E162" s="68" t="s">
        <v>26</v>
      </c>
      <c r="F162" s="65">
        <f t="shared" si="17"/>
        <v>0</v>
      </c>
      <c r="G162" s="614">
        <v>0</v>
      </c>
      <c r="H162" s="615">
        <v>0</v>
      </c>
      <c r="I162" s="616">
        <v>0</v>
      </c>
      <c r="J162" s="616">
        <v>0</v>
      </c>
      <c r="K162" s="617">
        <v>0</v>
      </c>
    </row>
    <row r="163" spans="1:11" x14ac:dyDescent="0.3">
      <c r="A163" s="1112"/>
      <c r="B163" s="1105"/>
      <c r="C163" s="1106"/>
      <c r="D163" s="1105"/>
      <c r="E163" s="68" t="s">
        <v>27</v>
      </c>
      <c r="F163" s="65">
        <f t="shared" si="17"/>
        <v>0</v>
      </c>
      <c r="G163" s="614">
        <v>0</v>
      </c>
      <c r="H163" s="615">
        <v>0</v>
      </c>
      <c r="I163" s="616">
        <v>0</v>
      </c>
      <c r="J163" s="616">
        <v>0</v>
      </c>
      <c r="K163" s="617">
        <v>0</v>
      </c>
    </row>
    <row r="164" spans="1:11" x14ac:dyDescent="0.3">
      <c r="A164" s="1112"/>
      <c r="B164" s="1105"/>
      <c r="C164" s="1106"/>
      <c r="D164" s="1105"/>
      <c r="E164" s="68" t="s">
        <v>28</v>
      </c>
      <c r="F164" s="65">
        <f t="shared" si="17"/>
        <v>0</v>
      </c>
      <c r="G164" s="614">
        <v>0</v>
      </c>
      <c r="H164" s="615">
        <v>0</v>
      </c>
      <c r="I164" s="616">
        <v>0</v>
      </c>
      <c r="J164" s="616">
        <v>0</v>
      </c>
      <c r="K164" s="617">
        <v>0</v>
      </c>
    </row>
    <row r="165" spans="1:11" x14ac:dyDescent="0.3">
      <c r="A165" s="1112"/>
      <c r="B165" s="1105"/>
      <c r="C165" s="1106"/>
      <c r="D165" s="1105"/>
      <c r="E165" s="68" t="s">
        <v>29</v>
      </c>
      <c r="F165" s="65">
        <f t="shared" si="17"/>
        <v>0</v>
      </c>
      <c r="G165" s="614">
        <v>0</v>
      </c>
      <c r="H165" s="615">
        <v>0</v>
      </c>
      <c r="I165" s="616">
        <v>0</v>
      </c>
      <c r="J165" s="616">
        <v>0</v>
      </c>
      <c r="K165" s="617">
        <v>0</v>
      </c>
    </row>
    <row r="166" spans="1:11" x14ac:dyDescent="0.3">
      <c r="A166" s="1112"/>
      <c r="B166" s="1105"/>
      <c r="C166" s="1106"/>
      <c r="D166" s="1105"/>
      <c r="E166" s="68" t="s">
        <v>30</v>
      </c>
      <c r="F166" s="65">
        <f t="shared" si="17"/>
        <v>0</v>
      </c>
      <c r="G166" s="614">
        <v>0</v>
      </c>
      <c r="H166" s="615">
        <v>0</v>
      </c>
      <c r="I166" s="616">
        <v>0</v>
      </c>
      <c r="J166" s="616">
        <v>0</v>
      </c>
      <c r="K166" s="617">
        <v>0</v>
      </c>
    </row>
    <row r="167" spans="1:11" x14ac:dyDescent="0.3">
      <c r="A167" s="1112"/>
      <c r="B167" s="1105"/>
      <c r="C167" s="1106"/>
      <c r="D167" s="1105"/>
      <c r="E167" s="68" t="s">
        <v>31</v>
      </c>
      <c r="F167" s="65">
        <f t="shared" si="17"/>
        <v>0</v>
      </c>
      <c r="G167" s="614">
        <v>0</v>
      </c>
      <c r="H167" s="615">
        <v>0</v>
      </c>
      <c r="I167" s="616">
        <v>0</v>
      </c>
      <c r="J167" s="616">
        <v>0</v>
      </c>
      <c r="K167" s="617">
        <v>0</v>
      </c>
    </row>
    <row r="168" spans="1:11" x14ac:dyDescent="0.3">
      <c r="A168" s="1112"/>
      <c r="B168" s="1105"/>
      <c r="C168" s="1106"/>
      <c r="D168" s="1105"/>
      <c r="E168" s="68" t="s">
        <v>32</v>
      </c>
      <c r="F168" s="65">
        <f t="shared" si="17"/>
        <v>0</v>
      </c>
      <c r="G168" s="614">
        <v>0</v>
      </c>
      <c r="H168" s="615">
        <v>0</v>
      </c>
      <c r="I168" s="616">
        <v>0</v>
      </c>
      <c r="J168" s="616">
        <v>0</v>
      </c>
      <c r="K168" s="617">
        <v>0</v>
      </c>
    </row>
    <row r="169" spans="1:11" x14ac:dyDescent="0.3">
      <c r="A169" s="1112"/>
      <c r="B169" s="1105"/>
      <c r="C169" s="1106"/>
      <c r="D169" s="1105"/>
      <c r="E169" s="68" t="s">
        <v>33</v>
      </c>
      <c r="F169" s="65">
        <f t="shared" si="17"/>
        <v>0</v>
      </c>
      <c r="G169" s="614">
        <v>0</v>
      </c>
      <c r="H169" s="615">
        <v>0</v>
      </c>
      <c r="I169" s="616">
        <v>0</v>
      </c>
      <c r="J169" s="616">
        <v>0</v>
      </c>
      <c r="K169" s="617">
        <v>0</v>
      </c>
    </row>
    <row r="170" spans="1:11" ht="15" thickBot="1" x14ac:dyDescent="0.35">
      <c r="A170" s="1112"/>
      <c r="B170" s="1105"/>
      <c r="C170" s="1106"/>
      <c r="D170" s="1105"/>
      <c r="E170" s="69" t="s">
        <v>34</v>
      </c>
      <c r="F170" s="66">
        <f t="shared" si="17"/>
        <v>0</v>
      </c>
      <c r="G170" s="618">
        <v>0</v>
      </c>
      <c r="H170" s="619">
        <v>0</v>
      </c>
      <c r="I170" s="620">
        <v>0</v>
      </c>
      <c r="J170" s="620">
        <v>0</v>
      </c>
      <c r="K170" s="621">
        <v>0</v>
      </c>
    </row>
    <row r="172" spans="1:11" x14ac:dyDescent="0.3">
      <c r="A172" s="592" t="s">
        <v>337</v>
      </c>
      <c r="B172" t="s">
        <v>117</v>
      </c>
      <c r="E172" s="656">
        <f>SUM(G172:J172)</f>
        <v>1378944</v>
      </c>
      <c r="F172" s="656">
        <f>F3</f>
        <v>1663200</v>
      </c>
      <c r="G172" s="656">
        <f t="shared" ref="G172:K172" si="18">G3</f>
        <v>1378944</v>
      </c>
      <c r="H172" s="656">
        <f t="shared" si="18"/>
        <v>0</v>
      </c>
      <c r="I172" s="656">
        <f t="shared" si="18"/>
        <v>0</v>
      </c>
      <c r="J172" s="656">
        <f t="shared" si="18"/>
        <v>0</v>
      </c>
      <c r="K172" s="656">
        <f t="shared" si="18"/>
        <v>284256</v>
      </c>
    </row>
    <row r="173" spans="1:11" x14ac:dyDescent="0.3">
      <c r="A173" s="592" t="s">
        <v>343</v>
      </c>
      <c r="B173" t="s">
        <v>79</v>
      </c>
      <c r="E173" s="656">
        <f>SUM(G173:J173)</f>
        <v>1512000</v>
      </c>
      <c r="F173" s="656">
        <f>F56</f>
        <v>1641600</v>
      </c>
      <c r="G173" s="656">
        <f t="shared" ref="G173:K173" si="19">G56</f>
        <v>1512000</v>
      </c>
      <c r="H173" s="656">
        <f t="shared" si="19"/>
        <v>0</v>
      </c>
      <c r="I173" s="656">
        <f t="shared" si="19"/>
        <v>0</v>
      </c>
      <c r="J173" s="656">
        <f t="shared" si="19"/>
        <v>0</v>
      </c>
      <c r="K173" s="656">
        <f t="shared" si="19"/>
        <v>129600</v>
      </c>
    </row>
    <row r="174" spans="1:11" x14ac:dyDescent="0.3">
      <c r="A174" s="592" t="s">
        <v>389</v>
      </c>
      <c r="B174" t="s">
        <v>277</v>
      </c>
      <c r="E174" s="656">
        <f>SUM(G174:J174)</f>
        <v>153217.93254901961</v>
      </c>
      <c r="F174" s="656">
        <f>F129</f>
        <v>175152</v>
      </c>
      <c r="G174" s="656">
        <f t="shared" ref="G174:K174" si="20">G129</f>
        <v>153217.93254901961</v>
      </c>
      <c r="H174" s="656">
        <f t="shared" si="20"/>
        <v>0</v>
      </c>
      <c r="I174" s="656">
        <f t="shared" si="20"/>
        <v>0</v>
      </c>
      <c r="J174" s="656">
        <f t="shared" si="20"/>
        <v>0</v>
      </c>
      <c r="K174" s="656">
        <f t="shared" si="20"/>
        <v>21934.06745098039</v>
      </c>
    </row>
    <row r="175" spans="1:11" x14ac:dyDescent="0.3">
      <c r="A175" s="592" t="s">
        <v>390</v>
      </c>
      <c r="B175" t="s">
        <v>303</v>
      </c>
      <c r="E175" s="656">
        <f>SUM(G175:J175)</f>
        <v>0</v>
      </c>
      <c r="F175" s="656">
        <f>F150</f>
        <v>0</v>
      </c>
      <c r="G175" s="656">
        <f t="shared" ref="G175:K175" si="21">G150</f>
        <v>0</v>
      </c>
      <c r="H175" s="656">
        <f t="shared" si="21"/>
        <v>0</v>
      </c>
      <c r="I175" s="656">
        <f t="shared" si="21"/>
        <v>0</v>
      </c>
      <c r="J175" s="656">
        <f t="shared" si="21"/>
        <v>0</v>
      </c>
      <c r="K175" s="656">
        <f t="shared" si="21"/>
        <v>0</v>
      </c>
    </row>
    <row r="176" spans="1:11" x14ac:dyDescent="0.3">
      <c r="E176" s="656">
        <f>SUM(E172:E175)</f>
        <v>3044161.9325490198</v>
      </c>
      <c r="F176" s="656">
        <f>SUM(F172:F175)</f>
        <v>3479952</v>
      </c>
      <c r="G176" s="656">
        <f t="shared" ref="G176:K176" si="22">SUM(G172:G175)</f>
        <v>3044161.9325490198</v>
      </c>
      <c r="H176" s="656">
        <f t="shared" si="22"/>
        <v>0</v>
      </c>
      <c r="I176" s="656">
        <f t="shared" si="22"/>
        <v>0</v>
      </c>
      <c r="J176" s="656">
        <f t="shared" si="22"/>
        <v>0</v>
      </c>
      <c r="K176" s="656">
        <f t="shared" si="22"/>
        <v>435790.06745098036</v>
      </c>
    </row>
    <row r="177" spans="5:11" x14ac:dyDescent="0.3">
      <c r="E177" s="656">
        <f>SUM(G177:J177)</f>
        <v>3044161.9325490198</v>
      </c>
      <c r="G177" s="656">
        <f>G3+G56+G129+G150</f>
        <v>3044161.9325490198</v>
      </c>
      <c r="H177" s="656">
        <f t="shared" ref="H177:J177" si="23">H3+H56+H129+H150</f>
        <v>0</v>
      </c>
      <c r="I177" s="656">
        <f t="shared" si="23"/>
        <v>0</v>
      </c>
      <c r="J177" s="656">
        <f t="shared" si="23"/>
        <v>0</v>
      </c>
      <c r="K177" s="656"/>
    </row>
    <row r="179" spans="5:11" x14ac:dyDescent="0.3">
      <c r="F179" s="803" t="s">
        <v>475</v>
      </c>
      <c r="G179" s="804">
        <v>0</v>
      </c>
      <c r="H179" s="804">
        <f t="shared" ref="H179:K179" si="24">$G$179</f>
        <v>0</v>
      </c>
      <c r="I179" s="804">
        <f t="shared" si="24"/>
        <v>0</v>
      </c>
      <c r="J179" s="804">
        <f t="shared" si="24"/>
        <v>0</v>
      </c>
      <c r="K179" s="804">
        <f t="shared" si="24"/>
        <v>0</v>
      </c>
    </row>
  </sheetData>
  <autoFilter ref="G1:G170"/>
  <mergeCells count="68">
    <mergeCell ref="A161:A170"/>
    <mergeCell ref="A109:A118"/>
    <mergeCell ref="A119:A128"/>
    <mergeCell ref="A130:A139"/>
    <mergeCell ref="A140:A149"/>
    <mergeCell ref="A151:A160"/>
    <mergeCell ref="A58:A67"/>
    <mergeCell ref="A68:A77"/>
    <mergeCell ref="A79:A88"/>
    <mergeCell ref="A89:A98"/>
    <mergeCell ref="A99:A108"/>
    <mergeCell ref="A5:A14"/>
    <mergeCell ref="A15:A24"/>
    <mergeCell ref="A26:A35"/>
    <mergeCell ref="A36:A45"/>
    <mergeCell ref="A46:A55"/>
    <mergeCell ref="B130:B139"/>
    <mergeCell ref="C130:C139"/>
    <mergeCell ref="D130:D139"/>
    <mergeCell ref="B140:B149"/>
    <mergeCell ref="C140:C149"/>
    <mergeCell ref="D140:D149"/>
    <mergeCell ref="B119:B128"/>
    <mergeCell ref="C119:C128"/>
    <mergeCell ref="D119:D128"/>
    <mergeCell ref="B1:E1"/>
    <mergeCell ref="B99:B108"/>
    <mergeCell ref="C99:C108"/>
    <mergeCell ref="D99:D108"/>
    <mergeCell ref="B109:B118"/>
    <mergeCell ref="C109:C118"/>
    <mergeCell ref="D109:D118"/>
    <mergeCell ref="B79:B88"/>
    <mergeCell ref="C79:C88"/>
    <mergeCell ref="D79:D88"/>
    <mergeCell ref="B89:B98"/>
    <mergeCell ref="C89:C98"/>
    <mergeCell ref="D89:D98"/>
    <mergeCell ref="B56:D56"/>
    <mergeCell ref="B58:B67"/>
    <mergeCell ref="C58:C67"/>
    <mergeCell ref="D58:D67"/>
    <mergeCell ref="B68:B77"/>
    <mergeCell ref="C68:C77"/>
    <mergeCell ref="D68:D77"/>
    <mergeCell ref="B36:B45"/>
    <mergeCell ref="C36:C45"/>
    <mergeCell ref="D36:D45"/>
    <mergeCell ref="B3:D3"/>
    <mergeCell ref="B46:B55"/>
    <mergeCell ref="C46:C55"/>
    <mergeCell ref="D46:D55"/>
    <mergeCell ref="B15:B24"/>
    <mergeCell ref="C15:C24"/>
    <mergeCell ref="D15:D24"/>
    <mergeCell ref="B26:B35"/>
    <mergeCell ref="C26:C35"/>
    <mergeCell ref="D26:D35"/>
    <mergeCell ref="D5:D14"/>
    <mergeCell ref="B5:B14"/>
    <mergeCell ref="C5:C14"/>
    <mergeCell ref="B150:D150"/>
    <mergeCell ref="B151:B160"/>
    <mergeCell ref="C151:C160"/>
    <mergeCell ref="D151:D160"/>
    <mergeCell ref="B161:B170"/>
    <mergeCell ref="C161:C170"/>
    <mergeCell ref="D161:D170"/>
  </mergeCells>
  <pageMargins left="0.7" right="0.7" top="0.75" bottom="0.75" header="0.3" footer="0.3"/>
  <pageSetup paperSize="9" scale="29" orientation="portrait" r:id="rId1"/>
  <ignoredErrors>
    <ignoredError sqref="F25 F7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88"/>
  <sheetViews>
    <sheetView view="pageBreakPreview" zoomScale="80" zoomScaleNormal="85" zoomScaleSheetLayoutView="80" workbookViewId="0">
      <pane ySplit="1" topLeftCell="A2" activePane="bottomLeft" state="frozen"/>
      <selection pane="bottomLeft" activeCell="F4" sqref="F4"/>
    </sheetView>
  </sheetViews>
  <sheetFormatPr defaultColWidth="8.886718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4.88671875" customWidth="1" outlineLevel="1"/>
    <col min="7" max="7" width="15.44140625" customWidth="1" outlineLevel="1"/>
    <col min="8" max="8" width="11.5546875" customWidth="1" outlineLevel="1"/>
    <col min="9" max="9" width="12.88671875" customWidth="1" outlineLevel="1"/>
  </cols>
  <sheetData>
    <row r="1" spans="1:9" ht="60" customHeight="1" thickBot="1" x14ac:dyDescent="0.45">
      <c r="A1" s="1101" t="s">
        <v>592</v>
      </c>
      <c r="B1" s="1101"/>
      <c r="C1" s="1101"/>
      <c r="D1" s="1102"/>
      <c r="E1" s="573" t="s">
        <v>35</v>
      </c>
      <c r="F1" s="574" t="str">
        <f>'Rozpočet - vývoj Aplikácií'!$C$4</f>
        <v>1. Podpora workflow pre inšpekčnú a povoľovaciu činnosť</v>
      </c>
      <c r="G1" s="574"/>
      <c r="H1" s="574"/>
      <c r="I1" s="653"/>
    </row>
    <row r="2" spans="1:9" ht="15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654"/>
    </row>
    <row r="3" spans="1:9" ht="15" thickBot="1" x14ac:dyDescent="0.35">
      <c r="A3" s="1113" t="s">
        <v>88</v>
      </c>
      <c r="B3" s="1113"/>
      <c r="C3" s="1113"/>
      <c r="D3" s="74"/>
      <c r="E3" s="77">
        <f t="shared" ref="E3:I3" si="0">SUM(E4:E33)</f>
        <v>63200</v>
      </c>
      <c r="F3" s="605">
        <f t="shared" si="0"/>
        <v>63200</v>
      </c>
      <c r="G3" s="605">
        <f t="shared" si="0"/>
        <v>0</v>
      </c>
      <c r="H3" s="606">
        <f t="shared" si="0"/>
        <v>0</v>
      </c>
      <c r="I3" s="607">
        <f t="shared" si="0"/>
        <v>0</v>
      </c>
    </row>
    <row r="4" spans="1:9" outlineLevel="1" x14ac:dyDescent="0.3">
      <c r="A4" s="1105" t="s">
        <v>90</v>
      </c>
      <c r="B4" s="1105" t="s">
        <v>93</v>
      </c>
      <c r="C4" s="1105" t="s">
        <v>385</v>
      </c>
      <c r="D4" s="67" t="s">
        <v>25</v>
      </c>
      <c r="E4" s="71">
        <f t="shared" ref="E4:E33" si="1">SUM(F4:I4)</f>
        <v>63200</v>
      </c>
      <c r="F4" s="627">
        <f>SUMIFS('Rozpočet - HW a licencie'!$E$3:$E$28,'Rozpočet - HW a licencie'!$G$3:$G$28,1)*(1+F$88)</f>
        <v>63200</v>
      </c>
      <c r="G4" s="627">
        <f>SUMIFS('Rozpočet - HW a licencie'!$E$3:$E$28,'Rozpočet - HW a licencie'!$G$3:$G$28,2)*(1+G$88)</f>
        <v>0</v>
      </c>
      <c r="H4" s="627">
        <f>SUMIFS('Rozpočet - HW a licencie'!$E$3:$E$28,'Rozpočet - HW a licencie'!$G$3:$G$28,3)*(1+H$88)</f>
        <v>0</v>
      </c>
      <c r="I4" s="630">
        <f>SUMIFS('Rozpočet - HW a licencie'!$E$3:$E$28,'Rozpočet - HW a licencie'!$G$3:$G$28,4)*(1+I$88)</f>
        <v>0</v>
      </c>
    </row>
    <row r="5" spans="1:9" outlineLevel="1" x14ac:dyDescent="0.3">
      <c r="A5" s="1105"/>
      <c r="B5" s="1106"/>
      <c r="C5" s="1105"/>
      <c r="D5" s="68" t="s">
        <v>26</v>
      </c>
      <c r="E5" s="72">
        <f t="shared" si="1"/>
        <v>0</v>
      </c>
      <c r="F5" s="632">
        <v>0</v>
      </c>
      <c r="G5" s="633">
        <v>0</v>
      </c>
      <c r="H5" s="634">
        <v>0</v>
      </c>
      <c r="I5" s="635">
        <v>0</v>
      </c>
    </row>
    <row r="6" spans="1:9" outlineLevel="1" x14ac:dyDescent="0.3">
      <c r="A6" s="1105"/>
      <c r="B6" s="1106"/>
      <c r="C6" s="1105"/>
      <c r="D6" s="68" t="s">
        <v>27</v>
      </c>
      <c r="E6" s="72">
        <f t="shared" si="1"/>
        <v>0</v>
      </c>
      <c r="F6" s="632">
        <v>0</v>
      </c>
      <c r="G6" s="633">
        <v>0</v>
      </c>
      <c r="H6" s="634">
        <v>0</v>
      </c>
      <c r="I6" s="635">
        <v>0</v>
      </c>
    </row>
    <row r="7" spans="1:9" outlineLevel="1" x14ac:dyDescent="0.3">
      <c r="A7" s="1105"/>
      <c r="B7" s="1106"/>
      <c r="C7" s="1105"/>
      <c r="D7" s="68" t="s">
        <v>28</v>
      </c>
      <c r="E7" s="72">
        <f t="shared" si="1"/>
        <v>0</v>
      </c>
      <c r="F7" s="632">
        <v>0</v>
      </c>
      <c r="G7" s="633">
        <v>0</v>
      </c>
      <c r="H7" s="634">
        <v>0</v>
      </c>
      <c r="I7" s="635">
        <v>0</v>
      </c>
    </row>
    <row r="8" spans="1:9" outlineLevel="1" x14ac:dyDescent="0.3">
      <c r="A8" s="1105"/>
      <c r="B8" s="1106"/>
      <c r="C8" s="1105"/>
      <c r="D8" s="68" t="s">
        <v>29</v>
      </c>
      <c r="E8" s="72">
        <f t="shared" si="1"/>
        <v>0</v>
      </c>
      <c r="F8" s="632">
        <v>0</v>
      </c>
      <c r="G8" s="633">
        <v>0</v>
      </c>
      <c r="H8" s="634">
        <v>0</v>
      </c>
      <c r="I8" s="635">
        <v>0</v>
      </c>
    </row>
    <row r="9" spans="1:9" outlineLevel="1" x14ac:dyDescent="0.3">
      <c r="A9" s="1105"/>
      <c r="B9" s="1106"/>
      <c r="C9" s="1105"/>
      <c r="D9" s="68" t="s">
        <v>30</v>
      </c>
      <c r="E9" s="72">
        <f t="shared" si="1"/>
        <v>0</v>
      </c>
      <c r="F9" s="632">
        <v>0</v>
      </c>
      <c r="G9" s="633">
        <v>0</v>
      </c>
      <c r="H9" s="634">
        <v>0</v>
      </c>
      <c r="I9" s="635">
        <v>0</v>
      </c>
    </row>
    <row r="10" spans="1:9" outlineLevel="1" x14ac:dyDescent="0.3">
      <c r="A10" s="1105"/>
      <c r="B10" s="1106"/>
      <c r="C10" s="1105"/>
      <c r="D10" s="68" t="s">
        <v>31</v>
      </c>
      <c r="E10" s="72">
        <f t="shared" si="1"/>
        <v>0</v>
      </c>
      <c r="F10" s="632">
        <v>0</v>
      </c>
      <c r="G10" s="633">
        <v>0</v>
      </c>
      <c r="H10" s="634">
        <v>0</v>
      </c>
      <c r="I10" s="635">
        <v>0</v>
      </c>
    </row>
    <row r="11" spans="1:9" outlineLevel="1" x14ac:dyDescent="0.3">
      <c r="A11" s="1105"/>
      <c r="B11" s="1106"/>
      <c r="C11" s="1105"/>
      <c r="D11" s="68" t="s">
        <v>32</v>
      </c>
      <c r="E11" s="72">
        <f t="shared" si="1"/>
        <v>0</v>
      </c>
      <c r="F11" s="632">
        <v>0</v>
      </c>
      <c r="G11" s="633">
        <v>0</v>
      </c>
      <c r="H11" s="634">
        <v>0</v>
      </c>
      <c r="I11" s="635">
        <v>0</v>
      </c>
    </row>
    <row r="12" spans="1:9" outlineLevel="1" x14ac:dyDescent="0.3">
      <c r="A12" s="1105"/>
      <c r="B12" s="1106"/>
      <c r="C12" s="1105"/>
      <c r="D12" s="68" t="s">
        <v>33</v>
      </c>
      <c r="E12" s="72">
        <f t="shared" si="1"/>
        <v>0</v>
      </c>
      <c r="F12" s="632">
        <v>0</v>
      </c>
      <c r="G12" s="633">
        <v>0</v>
      </c>
      <c r="H12" s="634">
        <v>0</v>
      </c>
      <c r="I12" s="635">
        <v>0</v>
      </c>
    </row>
    <row r="13" spans="1:9" ht="15" outlineLevel="1" thickBot="1" x14ac:dyDescent="0.35">
      <c r="A13" s="1105"/>
      <c r="B13" s="1106"/>
      <c r="C13" s="1105"/>
      <c r="D13" s="69" t="s">
        <v>34</v>
      </c>
      <c r="E13" s="73">
        <f t="shared" si="1"/>
        <v>0</v>
      </c>
      <c r="F13" s="637">
        <v>0</v>
      </c>
      <c r="G13" s="638">
        <v>0</v>
      </c>
      <c r="H13" s="639">
        <v>0</v>
      </c>
      <c r="I13" s="640">
        <v>0</v>
      </c>
    </row>
    <row r="14" spans="1:9" ht="15" customHeight="1" outlineLevel="1" x14ac:dyDescent="0.3">
      <c r="A14" s="1105" t="s">
        <v>91</v>
      </c>
      <c r="B14" s="1105" t="s">
        <v>113</v>
      </c>
      <c r="C14" s="1105" t="s">
        <v>386</v>
      </c>
      <c r="D14" s="67" t="s">
        <v>25</v>
      </c>
      <c r="E14" s="72">
        <f t="shared" si="1"/>
        <v>0</v>
      </c>
      <c r="F14" s="627">
        <v>0</v>
      </c>
      <c r="G14" s="628">
        <v>0</v>
      </c>
      <c r="H14" s="629">
        <v>0</v>
      </c>
      <c r="I14" s="630">
        <v>0</v>
      </c>
    </row>
    <row r="15" spans="1:9" outlineLevel="1" x14ac:dyDescent="0.3">
      <c r="A15" s="1105"/>
      <c r="B15" s="1106"/>
      <c r="C15" s="1105"/>
      <c r="D15" s="68" t="s">
        <v>26</v>
      </c>
      <c r="E15" s="72">
        <f t="shared" si="1"/>
        <v>0</v>
      </c>
      <c r="F15" s="632">
        <v>0</v>
      </c>
      <c r="G15" s="633">
        <v>0</v>
      </c>
      <c r="H15" s="634">
        <v>0</v>
      </c>
      <c r="I15" s="635">
        <v>0</v>
      </c>
    </row>
    <row r="16" spans="1:9" outlineLevel="1" x14ac:dyDescent="0.3">
      <c r="A16" s="1105"/>
      <c r="B16" s="1106"/>
      <c r="C16" s="1105"/>
      <c r="D16" s="68" t="s">
        <v>27</v>
      </c>
      <c r="E16" s="72">
        <f t="shared" si="1"/>
        <v>0</v>
      </c>
      <c r="F16" s="632">
        <v>0</v>
      </c>
      <c r="G16" s="633">
        <v>0</v>
      </c>
      <c r="H16" s="634">
        <v>0</v>
      </c>
      <c r="I16" s="635">
        <v>0</v>
      </c>
    </row>
    <row r="17" spans="1:9" outlineLevel="1" x14ac:dyDescent="0.3">
      <c r="A17" s="1105"/>
      <c r="B17" s="1106"/>
      <c r="C17" s="1105"/>
      <c r="D17" s="68" t="s">
        <v>28</v>
      </c>
      <c r="E17" s="72">
        <f t="shared" si="1"/>
        <v>0</v>
      </c>
      <c r="F17" s="632">
        <v>0</v>
      </c>
      <c r="G17" s="633">
        <v>0</v>
      </c>
      <c r="H17" s="634">
        <v>0</v>
      </c>
      <c r="I17" s="635">
        <v>0</v>
      </c>
    </row>
    <row r="18" spans="1:9" outlineLevel="1" x14ac:dyDescent="0.3">
      <c r="A18" s="1105"/>
      <c r="B18" s="1106"/>
      <c r="C18" s="1105"/>
      <c r="D18" s="68" t="s">
        <v>29</v>
      </c>
      <c r="E18" s="72">
        <f t="shared" si="1"/>
        <v>0</v>
      </c>
      <c r="F18" s="632">
        <v>0</v>
      </c>
      <c r="G18" s="633">
        <v>0</v>
      </c>
      <c r="H18" s="634">
        <v>0</v>
      </c>
      <c r="I18" s="635">
        <v>0</v>
      </c>
    </row>
    <row r="19" spans="1:9" outlineLevel="1" x14ac:dyDescent="0.3">
      <c r="A19" s="1105"/>
      <c r="B19" s="1106"/>
      <c r="C19" s="1105"/>
      <c r="D19" s="68" t="s">
        <v>30</v>
      </c>
      <c r="E19" s="72">
        <f t="shared" si="1"/>
        <v>0</v>
      </c>
      <c r="F19" s="632">
        <v>0</v>
      </c>
      <c r="G19" s="633">
        <v>0</v>
      </c>
      <c r="H19" s="634">
        <v>0</v>
      </c>
      <c r="I19" s="635">
        <v>0</v>
      </c>
    </row>
    <row r="20" spans="1:9" outlineLevel="1" x14ac:dyDescent="0.3">
      <c r="A20" s="1105"/>
      <c r="B20" s="1106"/>
      <c r="C20" s="1105"/>
      <c r="D20" s="68" t="s">
        <v>31</v>
      </c>
      <c r="E20" s="72">
        <f t="shared" si="1"/>
        <v>0</v>
      </c>
      <c r="F20" s="632">
        <v>0</v>
      </c>
      <c r="G20" s="633">
        <v>0</v>
      </c>
      <c r="H20" s="634">
        <v>0</v>
      </c>
      <c r="I20" s="635">
        <v>0</v>
      </c>
    </row>
    <row r="21" spans="1:9" outlineLevel="1" x14ac:dyDescent="0.3">
      <c r="A21" s="1105"/>
      <c r="B21" s="1106"/>
      <c r="C21" s="1105"/>
      <c r="D21" s="68" t="s">
        <v>32</v>
      </c>
      <c r="E21" s="72">
        <f t="shared" si="1"/>
        <v>0</v>
      </c>
      <c r="F21" s="632">
        <v>0</v>
      </c>
      <c r="G21" s="633">
        <v>0</v>
      </c>
      <c r="H21" s="634">
        <v>0</v>
      </c>
      <c r="I21" s="635">
        <v>0</v>
      </c>
    </row>
    <row r="22" spans="1:9" outlineLevel="1" x14ac:dyDescent="0.3">
      <c r="A22" s="1105"/>
      <c r="B22" s="1106"/>
      <c r="C22" s="1105"/>
      <c r="D22" s="68" t="s">
        <v>33</v>
      </c>
      <c r="E22" s="72">
        <f t="shared" si="1"/>
        <v>0</v>
      </c>
      <c r="F22" s="632">
        <v>0</v>
      </c>
      <c r="G22" s="633">
        <v>0</v>
      </c>
      <c r="H22" s="634">
        <v>0</v>
      </c>
      <c r="I22" s="635">
        <v>0</v>
      </c>
    </row>
    <row r="23" spans="1:9" ht="15" outlineLevel="1" thickBot="1" x14ac:dyDescent="0.35">
      <c r="A23" s="1105"/>
      <c r="B23" s="1106"/>
      <c r="C23" s="1105"/>
      <c r="D23" s="69" t="s">
        <v>34</v>
      </c>
      <c r="E23" s="73">
        <f t="shared" si="1"/>
        <v>0</v>
      </c>
      <c r="F23" s="637">
        <v>0</v>
      </c>
      <c r="G23" s="638">
        <v>0</v>
      </c>
      <c r="H23" s="639">
        <v>0</v>
      </c>
      <c r="I23" s="640">
        <v>0</v>
      </c>
    </row>
    <row r="24" spans="1:9" outlineLevel="1" x14ac:dyDescent="0.3">
      <c r="A24" s="1105" t="s">
        <v>92</v>
      </c>
      <c r="B24" s="1106" t="s">
        <v>78</v>
      </c>
      <c r="C24" s="1105" t="s">
        <v>366</v>
      </c>
      <c r="D24" s="67" t="s">
        <v>25</v>
      </c>
      <c r="E24" s="72">
        <f t="shared" si="1"/>
        <v>0</v>
      </c>
      <c r="F24" s="627">
        <v>0</v>
      </c>
      <c r="G24" s="628">
        <v>0</v>
      </c>
      <c r="H24" s="629">
        <v>0</v>
      </c>
      <c r="I24" s="630">
        <v>0</v>
      </c>
    </row>
    <row r="25" spans="1:9" outlineLevel="1" x14ac:dyDescent="0.3">
      <c r="A25" s="1105"/>
      <c r="B25" s="1106"/>
      <c r="C25" s="1105"/>
      <c r="D25" s="68" t="s">
        <v>26</v>
      </c>
      <c r="E25" s="72">
        <f t="shared" si="1"/>
        <v>0</v>
      </c>
      <c r="F25" s="632">
        <v>0</v>
      </c>
      <c r="G25" s="633">
        <v>0</v>
      </c>
      <c r="H25" s="634">
        <v>0</v>
      </c>
      <c r="I25" s="635">
        <v>0</v>
      </c>
    </row>
    <row r="26" spans="1:9" outlineLevel="1" x14ac:dyDescent="0.3">
      <c r="A26" s="1105"/>
      <c r="B26" s="1106"/>
      <c r="C26" s="1105"/>
      <c r="D26" s="68" t="s">
        <v>27</v>
      </c>
      <c r="E26" s="72">
        <f t="shared" si="1"/>
        <v>0</v>
      </c>
      <c r="F26" s="632">
        <v>0</v>
      </c>
      <c r="G26" s="633">
        <v>0</v>
      </c>
      <c r="H26" s="634">
        <v>0</v>
      </c>
      <c r="I26" s="635">
        <v>0</v>
      </c>
    </row>
    <row r="27" spans="1:9" outlineLevel="1" x14ac:dyDescent="0.3">
      <c r="A27" s="1105"/>
      <c r="B27" s="1106"/>
      <c r="C27" s="1105"/>
      <c r="D27" s="68" t="s">
        <v>28</v>
      </c>
      <c r="E27" s="72">
        <f t="shared" si="1"/>
        <v>0</v>
      </c>
      <c r="F27" s="632">
        <v>0</v>
      </c>
      <c r="G27" s="633">
        <v>0</v>
      </c>
      <c r="H27" s="634">
        <v>0</v>
      </c>
      <c r="I27" s="635">
        <v>0</v>
      </c>
    </row>
    <row r="28" spans="1:9" outlineLevel="1" x14ac:dyDescent="0.3">
      <c r="A28" s="1105"/>
      <c r="B28" s="1106"/>
      <c r="C28" s="1105"/>
      <c r="D28" s="68" t="s">
        <v>29</v>
      </c>
      <c r="E28" s="72">
        <f t="shared" si="1"/>
        <v>0</v>
      </c>
      <c r="F28" s="632">
        <v>0</v>
      </c>
      <c r="G28" s="633">
        <v>0</v>
      </c>
      <c r="H28" s="634">
        <v>0</v>
      </c>
      <c r="I28" s="635">
        <v>0</v>
      </c>
    </row>
    <row r="29" spans="1:9" outlineLevel="1" x14ac:dyDescent="0.3">
      <c r="A29" s="1105"/>
      <c r="B29" s="1106"/>
      <c r="C29" s="1105"/>
      <c r="D29" s="68" t="s">
        <v>30</v>
      </c>
      <c r="E29" s="72">
        <f t="shared" si="1"/>
        <v>0</v>
      </c>
      <c r="F29" s="632">
        <v>0</v>
      </c>
      <c r="G29" s="633">
        <v>0</v>
      </c>
      <c r="H29" s="634">
        <v>0</v>
      </c>
      <c r="I29" s="635">
        <v>0</v>
      </c>
    </row>
    <row r="30" spans="1:9" outlineLevel="1" x14ac:dyDescent="0.3">
      <c r="A30" s="1105"/>
      <c r="B30" s="1106"/>
      <c r="C30" s="1105"/>
      <c r="D30" s="68" t="s">
        <v>31</v>
      </c>
      <c r="E30" s="72">
        <f t="shared" si="1"/>
        <v>0</v>
      </c>
      <c r="F30" s="632">
        <v>0</v>
      </c>
      <c r="G30" s="633">
        <v>0</v>
      </c>
      <c r="H30" s="634">
        <v>0</v>
      </c>
      <c r="I30" s="635">
        <v>0</v>
      </c>
    </row>
    <row r="31" spans="1:9" outlineLevel="1" x14ac:dyDescent="0.3">
      <c r="A31" s="1105"/>
      <c r="B31" s="1106"/>
      <c r="C31" s="1105"/>
      <c r="D31" s="68" t="s">
        <v>32</v>
      </c>
      <c r="E31" s="72">
        <f t="shared" si="1"/>
        <v>0</v>
      </c>
      <c r="F31" s="632">
        <v>0</v>
      </c>
      <c r="G31" s="633">
        <v>0</v>
      </c>
      <c r="H31" s="634">
        <v>0</v>
      </c>
      <c r="I31" s="635">
        <v>0</v>
      </c>
    </row>
    <row r="32" spans="1:9" outlineLevel="1" x14ac:dyDescent="0.3">
      <c r="A32" s="1105"/>
      <c r="B32" s="1106"/>
      <c r="C32" s="1105"/>
      <c r="D32" s="68" t="s">
        <v>33</v>
      </c>
      <c r="E32" s="72">
        <f t="shared" si="1"/>
        <v>0</v>
      </c>
      <c r="F32" s="632">
        <v>0</v>
      </c>
      <c r="G32" s="633">
        <v>0</v>
      </c>
      <c r="H32" s="634">
        <v>0</v>
      </c>
      <c r="I32" s="635">
        <v>0</v>
      </c>
    </row>
    <row r="33" spans="1:9" ht="15" outlineLevel="1" thickBot="1" x14ac:dyDescent="0.35">
      <c r="A33" s="1105"/>
      <c r="B33" s="1106"/>
      <c r="C33" s="1105"/>
      <c r="D33" s="69" t="s">
        <v>34</v>
      </c>
      <c r="E33" s="72">
        <f t="shared" si="1"/>
        <v>0</v>
      </c>
      <c r="F33" s="637">
        <v>0</v>
      </c>
      <c r="G33" s="638">
        <v>0</v>
      </c>
      <c r="H33" s="639">
        <v>0</v>
      </c>
      <c r="I33" s="640">
        <v>0</v>
      </c>
    </row>
    <row r="34" spans="1:9" ht="15" thickBot="1" x14ac:dyDescent="0.35">
      <c r="A34" s="1108" t="s">
        <v>89</v>
      </c>
      <c r="B34" s="1108"/>
      <c r="C34" s="1108"/>
      <c r="D34" s="76"/>
      <c r="E34" s="77">
        <f t="shared" ref="E34:I34" si="2">SUM(E35:E84)</f>
        <v>0</v>
      </c>
      <c r="F34" s="605">
        <f t="shared" si="2"/>
        <v>0</v>
      </c>
      <c r="G34" s="605">
        <f t="shared" si="2"/>
        <v>0</v>
      </c>
      <c r="H34" s="606">
        <f t="shared" si="2"/>
        <v>0</v>
      </c>
      <c r="I34" s="607">
        <f t="shared" si="2"/>
        <v>0</v>
      </c>
    </row>
    <row r="35" spans="1:9" outlineLevel="1" x14ac:dyDescent="0.3">
      <c r="A35" s="1105" t="s">
        <v>94</v>
      </c>
      <c r="B35" s="1106" t="s">
        <v>81</v>
      </c>
      <c r="C35" s="1105" t="s">
        <v>387</v>
      </c>
      <c r="D35" s="67" t="s">
        <v>25</v>
      </c>
      <c r="E35" s="71">
        <f t="shared" ref="E35:E66" si="3">SUM(F35:I35)</f>
        <v>0</v>
      </c>
      <c r="F35" s="629">
        <v>0</v>
      </c>
      <c r="G35" s="629">
        <v>0</v>
      </c>
      <c r="H35" s="629">
        <v>0</v>
      </c>
      <c r="I35" s="630">
        <v>0</v>
      </c>
    </row>
    <row r="36" spans="1:9" outlineLevel="1" x14ac:dyDescent="0.3">
      <c r="A36" s="1105"/>
      <c r="B36" s="1106"/>
      <c r="C36" s="1105"/>
      <c r="D36" s="68" t="s">
        <v>26</v>
      </c>
      <c r="E36" s="72">
        <f t="shared" si="3"/>
        <v>0</v>
      </c>
      <c r="F36" s="634">
        <v>0</v>
      </c>
      <c r="G36" s="634">
        <v>0</v>
      </c>
      <c r="H36" s="634">
        <v>0</v>
      </c>
      <c r="I36" s="635">
        <v>0</v>
      </c>
    </row>
    <row r="37" spans="1:9" outlineLevel="1" x14ac:dyDescent="0.3">
      <c r="A37" s="1105"/>
      <c r="B37" s="1106"/>
      <c r="C37" s="1105"/>
      <c r="D37" s="68" t="s">
        <v>27</v>
      </c>
      <c r="E37" s="72">
        <f t="shared" si="3"/>
        <v>0</v>
      </c>
      <c r="F37" s="634">
        <v>0</v>
      </c>
      <c r="G37" s="634">
        <v>0</v>
      </c>
      <c r="H37" s="634">
        <v>0</v>
      </c>
      <c r="I37" s="635">
        <v>0</v>
      </c>
    </row>
    <row r="38" spans="1:9" outlineLevel="1" x14ac:dyDescent="0.3">
      <c r="A38" s="1105"/>
      <c r="B38" s="1106"/>
      <c r="C38" s="1105"/>
      <c r="D38" s="68" t="s">
        <v>28</v>
      </c>
      <c r="E38" s="72">
        <f t="shared" si="3"/>
        <v>0</v>
      </c>
      <c r="F38" s="634">
        <v>0</v>
      </c>
      <c r="G38" s="634">
        <v>0</v>
      </c>
      <c r="H38" s="634">
        <v>0</v>
      </c>
      <c r="I38" s="635">
        <v>0</v>
      </c>
    </row>
    <row r="39" spans="1:9" outlineLevel="1" x14ac:dyDescent="0.3">
      <c r="A39" s="1105"/>
      <c r="B39" s="1106"/>
      <c r="C39" s="1105"/>
      <c r="D39" s="68" t="s">
        <v>29</v>
      </c>
      <c r="E39" s="72">
        <f t="shared" si="3"/>
        <v>0</v>
      </c>
      <c r="F39" s="634">
        <v>0</v>
      </c>
      <c r="G39" s="634">
        <v>0</v>
      </c>
      <c r="H39" s="634">
        <v>0</v>
      </c>
      <c r="I39" s="635">
        <v>0</v>
      </c>
    </row>
    <row r="40" spans="1:9" outlineLevel="1" x14ac:dyDescent="0.3">
      <c r="A40" s="1105"/>
      <c r="B40" s="1106"/>
      <c r="C40" s="1105"/>
      <c r="D40" s="68" t="s">
        <v>30</v>
      </c>
      <c r="E40" s="72">
        <f t="shared" si="3"/>
        <v>0</v>
      </c>
      <c r="F40" s="634">
        <v>0</v>
      </c>
      <c r="G40" s="634">
        <v>0</v>
      </c>
      <c r="H40" s="634">
        <v>0</v>
      </c>
      <c r="I40" s="635">
        <v>0</v>
      </c>
    </row>
    <row r="41" spans="1:9" outlineLevel="1" x14ac:dyDescent="0.3">
      <c r="A41" s="1105"/>
      <c r="B41" s="1106"/>
      <c r="C41" s="1105"/>
      <c r="D41" s="68" t="s">
        <v>31</v>
      </c>
      <c r="E41" s="72">
        <f t="shared" si="3"/>
        <v>0</v>
      </c>
      <c r="F41" s="634">
        <v>0</v>
      </c>
      <c r="G41" s="634">
        <v>0</v>
      </c>
      <c r="H41" s="634">
        <v>0</v>
      </c>
      <c r="I41" s="635">
        <v>0</v>
      </c>
    </row>
    <row r="42" spans="1:9" outlineLevel="1" x14ac:dyDescent="0.3">
      <c r="A42" s="1105"/>
      <c r="B42" s="1106"/>
      <c r="C42" s="1105"/>
      <c r="D42" s="68" t="s">
        <v>32</v>
      </c>
      <c r="E42" s="72">
        <f t="shared" si="3"/>
        <v>0</v>
      </c>
      <c r="F42" s="634">
        <v>0</v>
      </c>
      <c r="G42" s="634">
        <v>0</v>
      </c>
      <c r="H42" s="634">
        <v>0</v>
      </c>
      <c r="I42" s="635">
        <v>0</v>
      </c>
    </row>
    <row r="43" spans="1:9" outlineLevel="1" x14ac:dyDescent="0.3">
      <c r="A43" s="1105"/>
      <c r="B43" s="1106"/>
      <c r="C43" s="1105"/>
      <c r="D43" s="68" t="s">
        <v>33</v>
      </c>
      <c r="E43" s="72">
        <f t="shared" si="3"/>
        <v>0</v>
      </c>
      <c r="F43" s="634">
        <v>0</v>
      </c>
      <c r="G43" s="634">
        <v>0</v>
      </c>
      <c r="H43" s="634">
        <v>0</v>
      </c>
      <c r="I43" s="635">
        <v>0</v>
      </c>
    </row>
    <row r="44" spans="1:9" ht="15" outlineLevel="1" thickBot="1" x14ac:dyDescent="0.35">
      <c r="A44" s="1105"/>
      <c r="B44" s="1106"/>
      <c r="C44" s="1105"/>
      <c r="D44" s="69" t="s">
        <v>34</v>
      </c>
      <c r="E44" s="73">
        <f t="shared" si="3"/>
        <v>0</v>
      </c>
      <c r="F44" s="639">
        <v>0</v>
      </c>
      <c r="G44" s="639">
        <v>0</v>
      </c>
      <c r="H44" s="639">
        <v>0</v>
      </c>
      <c r="I44" s="640">
        <v>0</v>
      </c>
    </row>
    <row r="45" spans="1:9" outlineLevel="1" x14ac:dyDescent="0.3">
      <c r="A45" s="1105" t="s">
        <v>95</v>
      </c>
      <c r="B45" s="1105" t="s">
        <v>93</v>
      </c>
      <c r="C45" s="1105" t="s">
        <v>388</v>
      </c>
      <c r="D45" s="67" t="s">
        <v>25</v>
      </c>
      <c r="E45" s="72">
        <f t="shared" si="3"/>
        <v>0</v>
      </c>
      <c r="F45" s="627">
        <v>0</v>
      </c>
      <c r="G45" s="628">
        <v>0</v>
      </c>
      <c r="H45" s="629">
        <v>0</v>
      </c>
      <c r="I45" s="630">
        <v>0</v>
      </c>
    </row>
    <row r="46" spans="1:9" outlineLevel="1" x14ac:dyDescent="0.3">
      <c r="A46" s="1105"/>
      <c r="B46" s="1106"/>
      <c r="C46" s="1105"/>
      <c r="D46" s="68" t="s">
        <v>26</v>
      </c>
      <c r="E46" s="72">
        <f t="shared" si="3"/>
        <v>0</v>
      </c>
      <c r="F46" s="632">
        <v>0</v>
      </c>
      <c r="G46" s="633">
        <v>0</v>
      </c>
      <c r="H46" s="634">
        <v>0</v>
      </c>
      <c r="I46" s="635">
        <v>0</v>
      </c>
    </row>
    <row r="47" spans="1:9" outlineLevel="1" x14ac:dyDescent="0.3">
      <c r="A47" s="1105"/>
      <c r="B47" s="1106"/>
      <c r="C47" s="1105"/>
      <c r="D47" s="68" t="s">
        <v>27</v>
      </c>
      <c r="E47" s="72">
        <f t="shared" si="3"/>
        <v>0</v>
      </c>
      <c r="F47" s="632">
        <v>0</v>
      </c>
      <c r="G47" s="633">
        <v>0</v>
      </c>
      <c r="H47" s="634">
        <v>0</v>
      </c>
      <c r="I47" s="635">
        <v>0</v>
      </c>
    </row>
    <row r="48" spans="1:9" outlineLevel="1" x14ac:dyDescent="0.3">
      <c r="A48" s="1105"/>
      <c r="B48" s="1106"/>
      <c r="C48" s="1105"/>
      <c r="D48" s="68" t="s">
        <v>28</v>
      </c>
      <c r="E48" s="72">
        <f t="shared" si="3"/>
        <v>0</v>
      </c>
      <c r="F48" s="632">
        <v>0</v>
      </c>
      <c r="G48" s="633">
        <v>0</v>
      </c>
      <c r="H48" s="634">
        <v>0</v>
      </c>
      <c r="I48" s="635">
        <v>0</v>
      </c>
    </row>
    <row r="49" spans="1:9" outlineLevel="1" x14ac:dyDescent="0.3">
      <c r="A49" s="1105"/>
      <c r="B49" s="1106"/>
      <c r="C49" s="1105"/>
      <c r="D49" s="68" t="s">
        <v>29</v>
      </c>
      <c r="E49" s="72">
        <f t="shared" si="3"/>
        <v>0</v>
      </c>
      <c r="F49" s="632">
        <v>0</v>
      </c>
      <c r="G49" s="633">
        <v>0</v>
      </c>
      <c r="H49" s="634">
        <v>0</v>
      </c>
      <c r="I49" s="635">
        <v>0</v>
      </c>
    </row>
    <row r="50" spans="1:9" outlineLevel="1" x14ac:dyDescent="0.3">
      <c r="A50" s="1105"/>
      <c r="B50" s="1106"/>
      <c r="C50" s="1105"/>
      <c r="D50" s="68" t="s">
        <v>30</v>
      </c>
      <c r="E50" s="72">
        <f t="shared" si="3"/>
        <v>0</v>
      </c>
      <c r="F50" s="632">
        <v>0</v>
      </c>
      <c r="G50" s="633">
        <v>0</v>
      </c>
      <c r="H50" s="634">
        <v>0</v>
      </c>
      <c r="I50" s="635">
        <v>0</v>
      </c>
    </row>
    <row r="51" spans="1:9" outlineLevel="1" x14ac:dyDescent="0.3">
      <c r="A51" s="1105"/>
      <c r="B51" s="1106"/>
      <c r="C51" s="1105"/>
      <c r="D51" s="68" t="s">
        <v>31</v>
      </c>
      <c r="E51" s="72">
        <f t="shared" si="3"/>
        <v>0</v>
      </c>
      <c r="F51" s="632">
        <v>0</v>
      </c>
      <c r="G51" s="633">
        <v>0</v>
      </c>
      <c r="H51" s="634">
        <v>0</v>
      </c>
      <c r="I51" s="635">
        <v>0</v>
      </c>
    </row>
    <row r="52" spans="1:9" outlineLevel="1" x14ac:dyDescent="0.3">
      <c r="A52" s="1105"/>
      <c r="B52" s="1106"/>
      <c r="C52" s="1105"/>
      <c r="D52" s="68" t="s">
        <v>32</v>
      </c>
      <c r="E52" s="72">
        <f t="shared" si="3"/>
        <v>0</v>
      </c>
      <c r="F52" s="632">
        <v>0</v>
      </c>
      <c r="G52" s="633">
        <v>0</v>
      </c>
      <c r="H52" s="634">
        <v>0</v>
      </c>
      <c r="I52" s="635">
        <v>0</v>
      </c>
    </row>
    <row r="53" spans="1:9" outlineLevel="1" x14ac:dyDescent="0.3">
      <c r="A53" s="1105"/>
      <c r="B53" s="1106"/>
      <c r="C53" s="1105"/>
      <c r="D53" s="68" t="s">
        <v>33</v>
      </c>
      <c r="E53" s="72">
        <f t="shared" si="3"/>
        <v>0</v>
      </c>
      <c r="F53" s="632">
        <v>0</v>
      </c>
      <c r="G53" s="633">
        <v>0</v>
      </c>
      <c r="H53" s="634">
        <v>0</v>
      </c>
      <c r="I53" s="635">
        <v>0</v>
      </c>
    </row>
    <row r="54" spans="1:9" ht="15" outlineLevel="1" thickBot="1" x14ac:dyDescent="0.35">
      <c r="A54" s="1105"/>
      <c r="B54" s="1106"/>
      <c r="C54" s="1105"/>
      <c r="D54" s="69" t="s">
        <v>34</v>
      </c>
      <c r="E54" s="73">
        <f t="shared" si="3"/>
        <v>0</v>
      </c>
      <c r="F54" s="637">
        <v>0</v>
      </c>
      <c r="G54" s="638">
        <v>0</v>
      </c>
      <c r="H54" s="639">
        <v>0</v>
      </c>
      <c r="I54" s="640">
        <v>0</v>
      </c>
    </row>
    <row r="55" spans="1:9" outlineLevel="1" x14ac:dyDescent="0.3">
      <c r="A55" s="1105" t="s">
        <v>96</v>
      </c>
      <c r="B55" s="1106"/>
      <c r="C55" s="1106"/>
      <c r="D55" s="67" t="s">
        <v>25</v>
      </c>
      <c r="E55" s="72">
        <f t="shared" si="3"/>
        <v>0</v>
      </c>
      <c r="F55" s="627">
        <v>0</v>
      </c>
      <c r="G55" s="628">
        <v>0</v>
      </c>
      <c r="H55" s="629">
        <v>0</v>
      </c>
      <c r="I55" s="630">
        <v>0</v>
      </c>
    </row>
    <row r="56" spans="1:9" outlineLevel="1" x14ac:dyDescent="0.3">
      <c r="A56" s="1105"/>
      <c r="B56" s="1106"/>
      <c r="C56" s="1106"/>
      <c r="D56" s="68" t="s">
        <v>26</v>
      </c>
      <c r="E56" s="72">
        <f t="shared" si="3"/>
        <v>0</v>
      </c>
      <c r="F56" s="632">
        <v>0</v>
      </c>
      <c r="G56" s="633">
        <v>0</v>
      </c>
      <c r="H56" s="634">
        <v>0</v>
      </c>
      <c r="I56" s="635">
        <v>0</v>
      </c>
    </row>
    <row r="57" spans="1:9" outlineLevel="1" x14ac:dyDescent="0.3">
      <c r="A57" s="1105"/>
      <c r="B57" s="1106"/>
      <c r="C57" s="1106"/>
      <c r="D57" s="68" t="s">
        <v>27</v>
      </c>
      <c r="E57" s="72">
        <f t="shared" si="3"/>
        <v>0</v>
      </c>
      <c r="F57" s="632">
        <v>0</v>
      </c>
      <c r="G57" s="633">
        <v>0</v>
      </c>
      <c r="H57" s="634">
        <v>0</v>
      </c>
      <c r="I57" s="635">
        <v>0</v>
      </c>
    </row>
    <row r="58" spans="1:9" outlineLevel="1" x14ac:dyDescent="0.3">
      <c r="A58" s="1105"/>
      <c r="B58" s="1106"/>
      <c r="C58" s="1106"/>
      <c r="D58" s="68" t="s">
        <v>28</v>
      </c>
      <c r="E58" s="72">
        <f t="shared" si="3"/>
        <v>0</v>
      </c>
      <c r="F58" s="632">
        <v>0</v>
      </c>
      <c r="G58" s="633">
        <v>0</v>
      </c>
      <c r="H58" s="634">
        <v>0</v>
      </c>
      <c r="I58" s="635">
        <v>0</v>
      </c>
    </row>
    <row r="59" spans="1:9" outlineLevel="1" x14ac:dyDescent="0.3">
      <c r="A59" s="1105"/>
      <c r="B59" s="1106"/>
      <c r="C59" s="1106"/>
      <c r="D59" s="68" t="s">
        <v>29</v>
      </c>
      <c r="E59" s="72">
        <f t="shared" si="3"/>
        <v>0</v>
      </c>
      <c r="F59" s="632">
        <v>0</v>
      </c>
      <c r="G59" s="633">
        <v>0</v>
      </c>
      <c r="H59" s="634">
        <v>0</v>
      </c>
      <c r="I59" s="635">
        <v>0</v>
      </c>
    </row>
    <row r="60" spans="1:9" outlineLevel="1" x14ac:dyDescent="0.3">
      <c r="A60" s="1105"/>
      <c r="B60" s="1106"/>
      <c r="C60" s="1106"/>
      <c r="D60" s="68" t="s">
        <v>30</v>
      </c>
      <c r="E60" s="72">
        <f t="shared" si="3"/>
        <v>0</v>
      </c>
      <c r="F60" s="632">
        <v>0</v>
      </c>
      <c r="G60" s="633">
        <v>0</v>
      </c>
      <c r="H60" s="634">
        <v>0</v>
      </c>
      <c r="I60" s="635">
        <v>0</v>
      </c>
    </row>
    <row r="61" spans="1:9" outlineLevel="1" x14ac:dyDescent="0.3">
      <c r="A61" s="1105"/>
      <c r="B61" s="1106"/>
      <c r="C61" s="1106"/>
      <c r="D61" s="68" t="s">
        <v>31</v>
      </c>
      <c r="E61" s="72">
        <f t="shared" si="3"/>
        <v>0</v>
      </c>
      <c r="F61" s="632">
        <v>0</v>
      </c>
      <c r="G61" s="633">
        <v>0</v>
      </c>
      <c r="H61" s="634">
        <v>0</v>
      </c>
      <c r="I61" s="635">
        <v>0</v>
      </c>
    </row>
    <row r="62" spans="1:9" outlineLevel="1" x14ac:dyDescent="0.3">
      <c r="A62" s="1105"/>
      <c r="B62" s="1106"/>
      <c r="C62" s="1106"/>
      <c r="D62" s="68" t="s">
        <v>32</v>
      </c>
      <c r="E62" s="72">
        <f t="shared" si="3"/>
        <v>0</v>
      </c>
      <c r="F62" s="632">
        <v>0</v>
      </c>
      <c r="G62" s="633">
        <v>0</v>
      </c>
      <c r="H62" s="634">
        <v>0</v>
      </c>
      <c r="I62" s="635">
        <v>0</v>
      </c>
    </row>
    <row r="63" spans="1:9" outlineLevel="1" x14ac:dyDescent="0.3">
      <c r="A63" s="1105"/>
      <c r="B63" s="1106"/>
      <c r="C63" s="1106"/>
      <c r="D63" s="68" t="s">
        <v>33</v>
      </c>
      <c r="E63" s="72">
        <f t="shared" si="3"/>
        <v>0</v>
      </c>
      <c r="F63" s="632">
        <v>0</v>
      </c>
      <c r="G63" s="633">
        <v>0</v>
      </c>
      <c r="H63" s="634">
        <v>0</v>
      </c>
      <c r="I63" s="635">
        <v>0</v>
      </c>
    </row>
    <row r="64" spans="1:9" ht="15" outlineLevel="1" thickBot="1" x14ac:dyDescent="0.35">
      <c r="A64" s="1105"/>
      <c r="B64" s="1106"/>
      <c r="C64" s="1106"/>
      <c r="D64" s="69" t="s">
        <v>34</v>
      </c>
      <c r="E64" s="73">
        <f t="shared" si="3"/>
        <v>0</v>
      </c>
      <c r="F64" s="637">
        <v>0</v>
      </c>
      <c r="G64" s="638">
        <v>0</v>
      </c>
      <c r="H64" s="639">
        <v>0</v>
      </c>
      <c r="I64" s="640">
        <v>0</v>
      </c>
    </row>
    <row r="65" spans="1:9" outlineLevel="1" x14ac:dyDescent="0.3">
      <c r="A65" s="1105" t="s">
        <v>97</v>
      </c>
      <c r="B65" s="1106"/>
      <c r="C65" s="1106"/>
      <c r="D65" s="67" t="s">
        <v>25</v>
      </c>
      <c r="E65" s="72">
        <f t="shared" si="3"/>
        <v>0</v>
      </c>
      <c r="F65" s="627">
        <v>0</v>
      </c>
      <c r="G65" s="628">
        <v>0</v>
      </c>
      <c r="H65" s="629">
        <v>0</v>
      </c>
      <c r="I65" s="630">
        <v>0</v>
      </c>
    </row>
    <row r="66" spans="1:9" outlineLevel="1" x14ac:dyDescent="0.3">
      <c r="A66" s="1105"/>
      <c r="B66" s="1106"/>
      <c r="C66" s="1106"/>
      <c r="D66" s="68" t="s">
        <v>26</v>
      </c>
      <c r="E66" s="72">
        <f t="shared" si="3"/>
        <v>0</v>
      </c>
      <c r="F66" s="632">
        <v>0</v>
      </c>
      <c r="G66" s="633">
        <v>0</v>
      </c>
      <c r="H66" s="634">
        <v>0</v>
      </c>
      <c r="I66" s="635">
        <v>0</v>
      </c>
    </row>
    <row r="67" spans="1:9" outlineLevel="1" x14ac:dyDescent="0.3">
      <c r="A67" s="1105"/>
      <c r="B67" s="1106"/>
      <c r="C67" s="1106"/>
      <c r="D67" s="68" t="s">
        <v>27</v>
      </c>
      <c r="E67" s="72">
        <f t="shared" ref="E67:E84" si="4">SUM(F67:I67)</f>
        <v>0</v>
      </c>
      <c r="F67" s="632">
        <v>0</v>
      </c>
      <c r="G67" s="633">
        <v>0</v>
      </c>
      <c r="H67" s="634">
        <v>0</v>
      </c>
      <c r="I67" s="635">
        <v>0</v>
      </c>
    </row>
    <row r="68" spans="1:9" outlineLevel="1" x14ac:dyDescent="0.3">
      <c r="A68" s="1105"/>
      <c r="B68" s="1106"/>
      <c r="C68" s="1106"/>
      <c r="D68" s="68" t="s">
        <v>28</v>
      </c>
      <c r="E68" s="72">
        <f t="shared" si="4"/>
        <v>0</v>
      </c>
      <c r="F68" s="632">
        <v>0</v>
      </c>
      <c r="G68" s="633">
        <v>0</v>
      </c>
      <c r="H68" s="634">
        <v>0</v>
      </c>
      <c r="I68" s="635">
        <v>0</v>
      </c>
    </row>
    <row r="69" spans="1:9" outlineLevel="1" x14ac:dyDescent="0.3">
      <c r="A69" s="1105"/>
      <c r="B69" s="1106"/>
      <c r="C69" s="1106"/>
      <c r="D69" s="68" t="s">
        <v>29</v>
      </c>
      <c r="E69" s="72">
        <f t="shared" si="4"/>
        <v>0</v>
      </c>
      <c r="F69" s="632">
        <v>0</v>
      </c>
      <c r="G69" s="633">
        <v>0</v>
      </c>
      <c r="H69" s="634">
        <v>0</v>
      </c>
      <c r="I69" s="635">
        <v>0</v>
      </c>
    </row>
    <row r="70" spans="1:9" outlineLevel="1" x14ac:dyDescent="0.3">
      <c r="A70" s="1105"/>
      <c r="B70" s="1106"/>
      <c r="C70" s="1106"/>
      <c r="D70" s="68" t="s">
        <v>30</v>
      </c>
      <c r="E70" s="72">
        <f t="shared" si="4"/>
        <v>0</v>
      </c>
      <c r="F70" s="632">
        <v>0</v>
      </c>
      <c r="G70" s="633">
        <v>0</v>
      </c>
      <c r="H70" s="634">
        <v>0</v>
      </c>
      <c r="I70" s="635">
        <v>0</v>
      </c>
    </row>
    <row r="71" spans="1:9" outlineLevel="1" x14ac:dyDescent="0.3">
      <c r="A71" s="1105"/>
      <c r="B71" s="1106"/>
      <c r="C71" s="1106"/>
      <c r="D71" s="68" t="s">
        <v>31</v>
      </c>
      <c r="E71" s="72">
        <f t="shared" si="4"/>
        <v>0</v>
      </c>
      <c r="F71" s="632">
        <v>0</v>
      </c>
      <c r="G71" s="633">
        <v>0</v>
      </c>
      <c r="H71" s="634">
        <v>0</v>
      </c>
      <c r="I71" s="635">
        <v>0</v>
      </c>
    </row>
    <row r="72" spans="1:9" outlineLevel="1" x14ac:dyDescent="0.3">
      <c r="A72" s="1105"/>
      <c r="B72" s="1106"/>
      <c r="C72" s="1106"/>
      <c r="D72" s="68" t="s">
        <v>32</v>
      </c>
      <c r="E72" s="72">
        <f t="shared" si="4"/>
        <v>0</v>
      </c>
      <c r="F72" s="632">
        <v>0</v>
      </c>
      <c r="G72" s="633">
        <v>0</v>
      </c>
      <c r="H72" s="634">
        <v>0</v>
      </c>
      <c r="I72" s="635">
        <v>0</v>
      </c>
    </row>
    <row r="73" spans="1:9" outlineLevel="1" x14ac:dyDescent="0.3">
      <c r="A73" s="1105"/>
      <c r="B73" s="1106"/>
      <c r="C73" s="1106"/>
      <c r="D73" s="68" t="s">
        <v>33</v>
      </c>
      <c r="E73" s="72">
        <f t="shared" si="4"/>
        <v>0</v>
      </c>
      <c r="F73" s="632">
        <v>0</v>
      </c>
      <c r="G73" s="633">
        <v>0</v>
      </c>
      <c r="H73" s="634">
        <v>0</v>
      </c>
      <c r="I73" s="635">
        <v>0</v>
      </c>
    </row>
    <row r="74" spans="1:9" ht="15" outlineLevel="1" thickBot="1" x14ac:dyDescent="0.35">
      <c r="A74" s="1105"/>
      <c r="B74" s="1106"/>
      <c r="C74" s="1106"/>
      <c r="D74" s="69" t="s">
        <v>34</v>
      </c>
      <c r="E74" s="73">
        <f t="shared" si="4"/>
        <v>0</v>
      </c>
      <c r="F74" s="637">
        <v>0</v>
      </c>
      <c r="G74" s="638">
        <v>0</v>
      </c>
      <c r="H74" s="639">
        <v>0</v>
      </c>
      <c r="I74" s="640">
        <v>0</v>
      </c>
    </row>
    <row r="75" spans="1:9" outlineLevel="1" x14ac:dyDescent="0.3">
      <c r="A75" s="1105" t="s">
        <v>92</v>
      </c>
      <c r="B75" s="1106" t="s">
        <v>78</v>
      </c>
      <c r="C75" s="1105" t="s">
        <v>366</v>
      </c>
      <c r="D75" s="67" t="s">
        <v>25</v>
      </c>
      <c r="E75" s="72">
        <f t="shared" si="4"/>
        <v>0</v>
      </c>
      <c r="F75" s="627">
        <v>0</v>
      </c>
      <c r="G75" s="628">
        <v>0</v>
      </c>
      <c r="H75" s="629">
        <v>0</v>
      </c>
      <c r="I75" s="630">
        <v>0</v>
      </c>
    </row>
    <row r="76" spans="1:9" outlineLevel="1" x14ac:dyDescent="0.3">
      <c r="A76" s="1105"/>
      <c r="B76" s="1106"/>
      <c r="C76" s="1105"/>
      <c r="D76" s="68" t="s">
        <v>26</v>
      </c>
      <c r="E76" s="72">
        <f t="shared" si="4"/>
        <v>0</v>
      </c>
      <c r="F76" s="632">
        <v>0</v>
      </c>
      <c r="G76" s="633">
        <v>0</v>
      </c>
      <c r="H76" s="634">
        <v>0</v>
      </c>
      <c r="I76" s="635">
        <v>0</v>
      </c>
    </row>
    <row r="77" spans="1:9" outlineLevel="1" x14ac:dyDescent="0.3">
      <c r="A77" s="1105"/>
      <c r="B77" s="1106"/>
      <c r="C77" s="1105"/>
      <c r="D77" s="68" t="s">
        <v>27</v>
      </c>
      <c r="E77" s="72">
        <f t="shared" si="4"/>
        <v>0</v>
      </c>
      <c r="F77" s="632">
        <v>0</v>
      </c>
      <c r="G77" s="633">
        <v>0</v>
      </c>
      <c r="H77" s="634">
        <v>0</v>
      </c>
      <c r="I77" s="635">
        <v>0</v>
      </c>
    </row>
    <row r="78" spans="1:9" outlineLevel="1" x14ac:dyDescent="0.3">
      <c r="A78" s="1105"/>
      <c r="B78" s="1106"/>
      <c r="C78" s="1105"/>
      <c r="D78" s="68" t="s">
        <v>28</v>
      </c>
      <c r="E78" s="72">
        <f t="shared" si="4"/>
        <v>0</v>
      </c>
      <c r="F78" s="632">
        <v>0</v>
      </c>
      <c r="G78" s="633">
        <v>0</v>
      </c>
      <c r="H78" s="634">
        <v>0</v>
      </c>
      <c r="I78" s="635">
        <v>0</v>
      </c>
    </row>
    <row r="79" spans="1:9" outlineLevel="1" x14ac:dyDescent="0.3">
      <c r="A79" s="1105"/>
      <c r="B79" s="1106"/>
      <c r="C79" s="1105"/>
      <c r="D79" s="68" t="s">
        <v>29</v>
      </c>
      <c r="E79" s="72">
        <f t="shared" si="4"/>
        <v>0</v>
      </c>
      <c r="F79" s="632">
        <v>0</v>
      </c>
      <c r="G79" s="633">
        <v>0</v>
      </c>
      <c r="H79" s="634">
        <v>0</v>
      </c>
      <c r="I79" s="635">
        <v>0</v>
      </c>
    </row>
    <row r="80" spans="1:9" outlineLevel="1" x14ac:dyDescent="0.3">
      <c r="A80" s="1105"/>
      <c r="B80" s="1106"/>
      <c r="C80" s="1105"/>
      <c r="D80" s="68" t="s">
        <v>30</v>
      </c>
      <c r="E80" s="72">
        <f t="shared" si="4"/>
        <v>0</v>
      </c>
      <c r="F80" s="632">
        <v>0</v>
      </c>
      <c r="G80" s="633">
        <v>0</v>
      </c>
      <c r="H80" s="634">
        <v>0</v>
      </c>
      <c r="I80" s="635">
        <v>0</v>
      </c>
    </row>
    <row r="81" spans="1:9" outlineLevel="1" x14ac:dyDescent="0.3">
      <c r="A81" s="1105"/>
      <c r="B81" s="1106"/>
      <c r="C81" s="1105"/>
      <c r="D81" s="68" t="s">
        <v>31</v>
      </c>
      <c r="E81" s="72">
        <f t="shared" si="4"/>
        <v>0</v>
      </c>
      <c r="F81" s="632">
        <v>0</v>
      </c>
      <c r="G81" s="633">
        <v>0</v>
      </c>
      <c r="H81" s="634">
        <v>0</v>
      </c>
      <c r="I81" s="635">
        <v>0</v>
      </c>
    </row>
    <row r="82" spans="1:9" outlineLevel="1" x14ac:dyDescent="0.3">
      <c r="A82" s="1105"/>
      <c r="B82" s="1106"/>
      <c r="C82" s="1105"/>
      <c r="D82" s="68" t="s">
        <v>32</v>
      </c>
      <c r="E82" s="72">
        <f t="shared" si="4"/>
        <v>0</v>
      </c>
      <c r="F82" s="632">
        <v>0</v>
      </c>
      <c r="G82" s="633">
        <v>0</v>
      </c>
      <c r="H82" s="634">
        <v>0</v>
      </c>
      <c r="I82" s="635">
        <v>0</v>
      </c>
    </row>
    <row r="83" spans="1:9" outlineLevel="1" x14ac:dyDescent="0.3">
      <c r="A83" s="1105"/>
      <c r="B83" s="1106"/>
      <c r="C83" s="1105"/>
      <c r="D83" s="68" t="s">
        <v>33</v>
      </c>
      <c r="E83" s="72">
        <f t="shared" si="4"/>
        <v>0</v>
      </c>
      <c r="F83" s="632">
        <v>0</v>
      </c>
      <c r="G83" s="633">
        <v>0</v>
      </c>
      <c r="H83" s="634">
        <v>0</v>
      </c>
      <c r="I83" s="635">
        <v>0</v>
      </c>
    </row>
    <row r="84" spans="1:9" ht="15" outlineLevel="1" thickBot="1" x14ac:dyDescent="0.35">
      <c r="A84" s="1105"/>
      <c r="B84" s="1106"/>
      <c r="C84" s="1105"/>
      <c r="D84" s="69" t="s">
        <v>34</v>
      </c>
      <c r="E84" s="73">
        <f t="shared" si="4"/>
        <v>0</v>
      </c>
      <c r="F84" s="637">
        <v>0</v>
      </c>
      <c r="G84" s="638">
        <v>0</v>
      </c>
      <c r="H84" s="639">
        <v>0</v>
      </c>
      <c r="I84" s="640">
        <v>0</v>
      </c>
    </row>
    <row r="86" spans="1:9" x14ac:dyDescent="0.3">
      <c r="E86" s="655">
        <f>SUM(F86:H86)</f>
        <v>63200</v>
      </c>
      <c r="F86" s="655">
        <f>F3+F34</f>
        <v>63200</v>
      </c>
      <c r="G86" s="655">
        <f>G3+G34</f>
        <v>0</v>
      </c>
      <c r="H86" s="655">
        <f>H3+H34</f>
        <v>0</v>
      </c>
      <c r="I86" s="655"/>
    </row>
    <row r="88" spans="1:9" x14ac:dyDescent="0.3">
      <c r="E88" s="803" t="s">
        <v>475</v>
      </c>
      <c r="F88" s="804">
        <v>0</v>
      </c>
      <c r="G88" s="804">
        <f>F88</f>
        <v>0</v>
      </c>
      <c r="H88" s="804">
        <f>F88</f>
        <v>0</v>
      </c>
      <c r="I88" s="804">
        <f>F88</f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5"/>
  <sheetViews>
    <sheetView showGridLines="0" zoomScale="70" zoomScaleNormal="70" zoomScaleSheetLayoutView="80" workbookViewId="0">
      <pane xSplit="3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AF6" sqref="AF6"/>
    </sheetView>
  </sheetViews>
  <sheetFormatPr defaultColWidth="8.6640625" defaultRowHeight="11.4" x14ac:dyDescent="0.2"/>
  <cols>
    <col min="1" max="1" width="8.33203125" style="531" hidden="1" customWidth="1"/>
    <col min="2" max="2" width="14.77734375" style="532" hidden="1" customWidth="1"/>
    <col min="3" max="3" width="58.88671875" style="526" customWidth="1"/>
    <col min="4" max="4" width="13" style="526" customWidth="1"/>
    <col min="5" max="5" width="3.33203125" style="526" customWidth="1"/>
    <col min="6" max="28" width="3.6640625" style="526" customWidth="1"/>
    <col min="29" max="32" width="8" style="526" customWidth="1"/>
    <col min="33" max="34" width="8" style="577" customWidth="1"/>
    <col min="35" max="35" width="10" style="577" customWidth="1"/>
    <col min="36" max="36" width="12.77734375" style="590" customWidth="1"/>
    <col min="37" max="37" width="4.5546875" style="526" customWidth="1"/>
    <col min="38" max="38" width="10.6640625" style="526" customWidth="1"/>
    <col min="39" max="41" width="8.6640625" style="526"/>
    <col min="42" max="42" width="8.6640625" style="577"/>
    <col min="43" max="43" width="10.77734375" style="577" customWidth="1"/>
    <col min="44" max="44" width="5.77734375" style="526" customWidth="1"/>
    <col min="45" max="49" width="8.6640625" style="526"/>
    <col min="50" max="50" width="10.88671875" style="526" bestFit="1" customWidth="1"/>
    <col min="51" max="51" width="13.109375" style="526" customWidth="1"/>
    <col min="52" max="16384" width="8.6640625" style="526"/>
  </cols>
  <sheetData>
    <row r="1" spans="1:51" ht="12" thickBot="1" x14ac:dyDescent="0.25">
      <c r="AL1" s="526" t="s">
        <v>361</v>
      </c>
      <c r="AS1" s="526" t="s">
        <v>362</v>
      </c>
      <c r="AW1" s="577"/>
      <c r="AX1" s="577"/>
    </row>
    <row r="2" spans="1:51" ht="36.75" customHeight="1" x14ac:dyDescent="0.2">
      <c r="C2" s="533" t="s">
        <v>119</v>
      </c>
      <c r="D2" s="534" t="s">
        <v>1</v>
      </c>
      <c r="E2" s="535" t="s">
        <v>120</v>
      </c>
      <c r="F2" s="536" t="s">
        <v>121</v>
      </c>
      <c r="G2" s="536" t="s">
        <v>122</v>
      </c>
      <c r="H2" s="536" t="s">
        <v>123</v>
      </c>
      <c r="I2" s="536" t="s">
        <v>124</v>
      </c>
      <c r="J2" s="536" t="s">
        <v>125</v>
      </c>
      <c r="K2" s="536" t="s">
        <v>126</v>
      </c>
      <c r="L2" s="536" t="s">
        <v>127</v>
      </c>
      <c r="M2" s="536" t="s">
        <v>128</v>
      </c>
      <c r="N2" s="536" t="s">
        <v>129</v>
      </c>
      <c r="O2" s="536" t="s">
        <v>130</v>
      </c>
      <c r="P2" s="537" t="s">
        <v>131</v>
      </c>
      <c r="Q2" s="536" t="s">
        <v>132</v>
      </c>
      <c r="R2" s="536" t="s">
        <v>133</v>
      </c>
      <c r="S2" s="536" t="s">
        <v>134</v>
      </c>
      <c r="T2" s="536" t="s">
        <v>135</v>
      </c>
      <c r="U2" s="536" t="s">
        <v>136</v>
      </c>
      <c r="V2" s="536" t="s">
        <v>137</v>
      </c>
      <c r="W2" s="536" t="s">
        <v>138</v>
      </c>
      <c r="X2" s="536" t="s">
        <v>139</v>
      </c>
      <c r="Y2" s="536" t="s">
        <v>140</v>
      </c>
      <c r="Z2" s="536" t="s">
        <v>141</v>
      </c>
      <c r="AA2" s="536" t="s">
        <v>392</v>
      </c>
      <c r="AB2" s="537" t="s">
        <v>142</v>
      </c>
      <c r="AC2" s="538" t="s">
        <v>143</v>
      </c>
      <c r="AD2" s="539" t="s">
        <v>144</v>
      </c>
      <c r="AE2" s="539" t="s">
        <v>145</v>
      </c>
      <c r="AF2" s="539" t="s">
        <v>146</v>
      </c>
      <c r="AG2" s="578" t="s">
        <v>147</v>
      </c>
      <c r="AH2" s="578" t="s">
        <v>591</v>
      </c>
      <c r="AI2" s="579" t="s">
        <v>148</v>
      </c>
      <c r="AJ2" s="580" t="s">
        <v>590</v>
      </c>
      <c r="AK2" s="540"/>
      <c r="AL2" s="538" t="s">
        <v>143</v>
      </c>
      <c r="AM2" s="539" t="s">
        <v>144</v>
      </c>
      <c r="AN2" s="539" t="s">
        <v>145</v>
      </c>
      <c r="AO2" s="539" t="s">
        <v>146</v>
      </c>
      <c r="AP2" s="579" t="s">
        <v>148</v>
      </c>
      <c r="AQ2" s="580" t="s">
        <v>590</v>
      </c>
      <c r="AS2" s="538" t="s">
        <v>143</v>
      </c>
      <c r="AT2" s="539" t="s">
        <v>144</v>
      </c>
      <c r="AU2" s="539" t="s">
        <v>145</v>
      </c>
      <c r="AV2" s="539" t="s">
        <v>146</v>
      </c>
      <c r="AW2" s="579" t="s">
        <v>148</v>
      </c>
      <c r="AX2" s="580" t="s">
        <v>149</v>
      </c>
    </row>
    <row r="3" spans="1:51" ht="14.25" customHeight="1" x14ac:dyDescent="0.25">
      <c r="A3" s="541" t="s">
        <v>358</v>
      </c>
      <c r="B3" s="542" t="s">
        <v>359</v>
      </c>
      <c r="C3" s="543"/>
      <c r="D3" s="544"/>
      <c r="E3" s="545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7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7"/>
      <c r="AC3" s="548"/>
      <c r="AD3" s="549"/>
      <c r="AE3" s="549"/>
      <c r="AF3" s="549"/>
      <c r="AG3" s="581"/>
      <c r="AH3" s="581"/>
      <c r="AI3" s="582"/>
      <c r="AJ3" s="583"/>
      <c r="AK3" s="550"/>
      <c r="AL3" s="548"/>
      <c r="AM3" s="549"/>
      <c r="AN3" s="549"/>
      <c r="AO3" s="549"/>
      <c r="AP3" s="582"/>
      <c r="AQ3" s="583"/>
      <c r="AS3" s="548"/>
      <c r="AT3" s="549"/>
      <c r="AU3" s="549"/>
      <c r="AV3" s="549"/>
      <c r="AW3" s="582"/>
      <c r="AX3" s="583"/>
    </row>
    <row r="4" spans="1:51" ht="12" x14ac:dyDescent="0.2">
      <c r="A4" s="531" t="s">
        <v>337</v>
      </c>
      <c r="B4" s="532" t="s">
        <v>330</v>
      </c>
      <c r="C4" s="551" t="s">
        <v>490</v>
      </c>
      <c r="D4" s="528"/>
      <c r="E4" s="569" t="s">
        <v>223</v>
      </c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1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3"/>
      <c r="AC4" s="554"/>
      <c r="AD4" s="555"/>
      <c r="AE4" s="555"/>
      <c r="AF4" s="555"/>
      <c r="AG4" s="584"/>
      <c r="AH4" s="584"/>
      <c r="AI4" s="585"/>
      <c r="AJ4" s="586"/>
      <c r="AK4" s="556"/>
      <c r="AL4" s="554"/>
      <c r="AM4" s="555"/>
      <c r="AN4" s="555"/>
      <c r="AO4" s="555"/>
      <c r="AP4" s="585"/>
      <c r="AQ4" s="586"/>
      <c r="AS4" s="554"/>
      <c r="AT4" s="555"/>
      <c r="AU4" s="555"/>
      <c r="AV4" s="555"/>
      <c r="AW4" s="585"/>
      <c r="AX4" s="586"/>
    </row>
    <row r="5" spans="1:51" ht="13.2" x14ac:dyDescent="0.2">
      <c r="A5" s="531" t="s">
        <v>338</v>
      </c>
      <c r="B5" s="532" t="s">
        <v>331</v>
      </c>
      <c r="C5" s="557" t="s">
        <v>491</v>
      </c>
      <c r="D5" s="528"/>
      <c r="E5" s="558">
        <v>1</v>
      </c>
      <c r="F5" s="552">
        <v>1</v>
      </c>
      <c r="G5" s="552">
        <v>1</v>
      </c>
      <c r="H5" s="552">
        <v>1</v>
      </c>
      <c r="I5" s="552">
        <v>1</v>
      </c>
      <c r="J5" s="552">
        <v>1</v>
      </c>
      <c r="K5" s="552">
        <v>1</v>
      </c>
      <c r="L5" s="552">
        <v>1</v>
      </c>
      <c r="M5" s="552">
        <v>1</v>
      </c>
      <c r="N5" s="552">
        <v>1</v>
      </c>
      <c r="O5" s="552">
        <v>1</v>
      </c>
      <c r="P5" s="553">
        <v>1</v>
      </c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9">
        <f t="shared" ref="AC5:AC9" si="0">COUNTA(E5:AB5)*21</f>
        <v>252</v>
      </c>
      <c r="AD5" s="560">
        <f>COUNTA(E5:AB5)*21</f>
        <v>252</v>
      </c>
      <c r="AE5" s="680"/>
      <c r="AF5" s="682">
        <v>1</v>
      </c>
      <c r="AG5" s="683"/>
      <c r="AH5" s="684">
        <f>(1+Faktory!$D$16)*960</f>
        <v>1152</v>
      </c>
      <c r="AI5" s="675">
        <f>AC5*AE5*AG5</f>
        <v>0</v>
      </c>
      <c r="AJ5" s="676">
        <f t="shared" ref="AJ5:AJ15" si="1">AD5*AF5*AH5</f>
        <v>290304</v>
      </c>
      <c r="AK5" s="556"/>
      <c r="AL5" s="559">
        <f t="shared" ref="AL5:AL9" si="2">COUNTA(E5:P5)*21</f>
        <v>252</v>
      </c>
      <c r="AM5" s="560">
        <f>AL5</f>
        <v>252</v>
      </c>
      <c r="AN5" s="682"/>
      <c r="AO5" s="682">
        <f>AF5</f>
        <v>1</v>
      </c>
      <c r="AP5" s="585">
        <f t="shared" ref="AP5:AQ9" si="3">AL5*AN5*AG5</f>
        <v>0</v>
      </c>
      <c r="AQ5" s="586">
        <f t="shared" si="3"/>
        <v>290304</v>
      </c>
      <c r="AS5" s="559">
        <f t="shared" ref="AS5:AS9" si="4">COUNTA(Q5:AB5)*21</f>
        <v>0</v>
      </c>
      <c r="AT5" s="560">
        <f>AS5</f>
        <v>0</v>
      </c>
      <c r="AU5" s="682"/>
      <c r="AV5" s="682">
        <f>AF5</f>
        <v>1</v>
      </c>
      <c r="AW5" s="585">
        <f t="shared" ref="AW5:AX9" si="5">AS5*AU5*AG5</f>
        <v>0</v>
      </c>
      <c r="AX5" s="586">
        <f t="shared" si="5"/>
        <v>0</v>
      </c>
      <c r="AY5" s="526">
        <v>445440</v>
      </c>
    </row>
    <row r="6" spans="1:51" ht="13.2" x14ac:dyDescent="0.2">
      <c r="A6" s="531" t="s">
        <v>339</v>
      </c>
      <c r="B6" s="532" t="s">
        <v>332</v>
      </c>
      <c r="C6" s="557" t="s">
        <v>492</v>
      </c>
      <c r="D6" s="528"/>
      <c r="E6" s="558"/>
      <c r="F6" s="552"/>
      <c r="G6" s="552"/>
      <c r="H6" s="552"/>
      <c r="I6" s="552"/>
      <c r="J6" s="552"/>
      <c r="K6" s="552">
        <v>1</v>
      </c>
      <c r="L6" s="552">
        <v>1</v>
      </c>
      <c r="M6" s="552">
        <v>1</v>
      </c>
      <c r="N6" s="552">
        <v>1</v>
      </c>
      <c r="O6" s="552">
        <v>1</v>
      </c>
      <c r="P6" s="553">
        <v>1</v>
      </c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9">
        <f t="shared" si="0"/>
        <v>126</v>
      </c>
      <c r="AD6" s="560">
        <f t="shared" ref="AD6:AD15" si="6">COUNTA(E6:AB6)*21</f>
        <v>126</v>
      </c>
      <c r="AE6" s="680"/>
      <c r="AF6" s="682">
        <v>5</v>
      </c>
      <c r="AG6" s="683"/>
      <c r="AH6" s="684">
        <f>(1+Faktory!$D$16)*960</f>
        <v>1152</v>
      </c>
      <c r="AI6" s="675">
        <f t="shared" ref="AI6:AI15" si="7">AC6*AE6*AG6</f>
        <v>0</v>
      </c>
      <c r="AJ6" s="676">
        <f t="shared" si="1"/>
        <v>725760</v>
      </c>
      <c r="AK6" s="556"/>
      <c r="AL6" s="559">
        <f t="shared" si="2"/>
        <v>126</v>
      </c>
      <c r="AM6" s="560">
        <f t="shared" ref="AM6:AM9" si="8">AL6</f>
        <v>126</v>
      </c>
      <c r="AN6" s="682"/>
      <c r="AO6" s="682">
        <f t="shared" ref="AO6:AO9" si="9">AF6</f>
        <v>5</v>
      </c>
      <c r="AP6" s="585">
        <f t="shared" si="3"/>
        <v>0</v>
      </c>
      <c r="AQ6" s="586">
        <f t="shared" si="3"/>
        <v>725760</v>
      </c>
      <c r="AS6" s="559">
        <f t="shared" si="4"/>
        <v>0</v>
      </c>
      <c r="AT6" s="560">
        <f t="shared" ref="AT6:AT9" si="10">AS6</f>
        <v>0</v>
      </c>
      <c r="AU6" s="682"/>
      <c r="AV6" s="682">
        <f t="shared" ref="AV6:AV9" si="11">AF6</f>
        <v>5</v>
      </c>
      <c r="AW6" s="585">
        <f t="shared" si="5"/>
        <v>0</v>
      </c>
      <c r="AX6" s="586">
        <f t="shared" si="5"/>
        <v>0</v>
      </c>
      <c r="AY6" s="526">
        <v>897600</v>
      </c>
    </row>
    <row r="7" spans="1:51" ht="13.2" x14ac:dyDescent="0.2">
      <c r="A7" s="531" t="s">
        <v>340</v>
      </c>
      <c r="B7" s="532" t="s">
        <v>333</v>
      </c>
      <c r="C7" s="557" t="s">
        <v>493</v>
      </c>
      <c r="D7" s="528"/>
      <c r="E7" s="558"/>
      <c r="F7" s="552"/>
      <c r="G7" s="552"/>
      <c r="H7" s="552"/>
      <c r="I7" s="552"/>
      <c r="J7" s="552"/>
      <c r="K7" s="552"/>
      <c r="L7" s="552"/>
      <c r="M7" s="552">
        <v>1</v>
      </c>
      <c r="N7" s="552">
        <v>1</v>
      </c>
      <c r="O7" s="552">
        <v>1</v>
      </c>
      <c r="P7" s="553">
        <v>1</v>
      </c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9">
        <f t="shared" si="0"/>
        <v>84</v>
      </c>
      <c r="AD7" s="560">
        <f t="shared" si="6"/>
        <v>84</v>
      </c>
      <c r="AE7" s="680"/>
      <c r="AF7" s="682">
        <v>3</v>
      </c>
      <c r="AG7" s="683"/>
      <c r="AH7" s="684">
        <f>(1+Faktory!$D$16)*960</f>
        <v>1152</v>
      </c>
      <c r="AI7" s="675">
        <f t="shared" si="7"/>
        <v>0</v>
      </c>
      <c r="AJ7" s="676">
        <f t="shared" si="1"/>
        <v>290304</v>
      </c>
      <c r="AK7" s="556"/>
      <c r="AL7" s="559">
        <f t="shared" si="2"/>
        <v>84</v>
      </c>
      <c r="AM7" s="560">
        <f t="shared" si="8"/>
        <v>84</v>
      </c>
      <c r="AN7" s="682"/>
      <c r="AO7" s="682">
        <f t="shared" si="9"/>
        <v>3</v>
      </c>
      <c r="AP7" s="585">
        <f t="shared" si="3"/>
        <v>0</v>
      </c>
      <c r="AQ7" s="586">
        <f t="shared" si="3"/>
        <v>290304</v>
      </c>
      <c r="AS7" s="559">
        <f t="shared" si="4"/>
        <v>0</v>
      </c>
      <c r="AT7" s="560">
        <f t="shared" si="10"/>
        <v>0</v>
      </c>
      <c r="AU7" s="682"/>
      <c r="AV7" s="682">
        <f t="shared" si="11"/>
        <v>3</v>
      </c>
      <c r="AW7" s="585">
        <f t="shared" si="5"/>
        <v>0</v>
      </c>
      <c r="AX7" s="586">
        <f t="shared" si="5"/>
        <v>0</v>
      </c>
      <c r="AY7" s="526">
        <v>321600</v>
      </c>
    </row>
    <row r="8" spans="1:51" ht="13.35" customHeight="1" x14ac:dyDescent="0.2">
      <c r="A8" s="531" t="s">
        <v>341</v>
      </c>
      <c r="B8" s="532" t="s">
        <v>334</v>
      </c>
      <c r="C8" s="557" t="s">
        <v>494</v>
      </c>
      <c r="D8" s="528"/>
      <c r="E8" s="558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3">
        <v>1</v>
      </c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9">
        <f t="shared" si="0"/>
        <v>21</v>
      </c>
      <c r="AD8" s="560">
        <f t="shared" si="6"/>
        <v>21</v>
      </c>
      <c r="AE8" s="680"/>
      <c r="AF8" s="682">
        <v>1.5</v>
      </c>
      <c r="AG8" s="683"/>
      <c r="AH8" s="684">
        <f>(1+Faktory!$D$16)*960</f>
        <v>1152</v>
      </c>
      <c r="AI8" s="675">
        <f t="shared" si="7"/>
        <v>0</v>
      </c>
      <c r="AJ8" s="676">
        <f t="shared" si="1"/>
        <v>36288</v>
      </c>
      <c r="AK8" s="556"/>
      <c r="AL8" s="559">
        <f t="shared" si="2"/>
        <v>21</v>
      </c>
      <c r="AM8" s="560">
        <f t="shared" si="8"/>
        <v>21</v>
      </c>
      <c r="AN8" s="682"/>
      <c r="AO8" s="682">
        <f t="shared" si="9"/>
        <v>1.5</v>
      </c>
      <c r="AP8" s="585">
        <f t="shared" si="3"/>
        <v>0</v>
      </c>
      <c r="AQ8" s="586">
        <f t="shared" si="3"/>
        <v>36288</v>
      </c>
      <c r="AS8" s="559">
        <f t="shared" si="4"/>
        <v>0</v>
      </c>
      <c r="AT8" s="560">
        <f t="shared" si="10"/>
        <v>0</v>
      </c>
      <c r="AU8" s="682"/>
      <c r="AV8" s="682">
        <f t="shared" si="11"/>
        <v>1.5</v>
      </c>
      <c r="AW8" s="585">
        <f t="shared" si="5"/>
        <v>0</v>
      </c>
      <c r="AX8" s="586">
        <f t="shared" si="5"/>
        <v>0</v>
      </c>
      <c r="AY8" s="526">
        <v>19200</v>
      </c>
    </row>
    <row r="9" spans="1:51" ht="13.2" x14ac:dyDescent="0.2">
      <c r="A9" s="531" t="s">
        <v>342</v>
      </c>
      <c r="B9" s="532" t="s">
        <v>335</v>
      </c>
      <c r="C9" s="557" t="s">
        <v>495</v>
      </c>
      <c r="D9" s="528"/>
      <c r="E9" s="558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>
        <v>1</v>
      </c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9">
        <f t="shared" si="0"/>
        <v>21</v>
      </c>
      <c r="AD9" s="560">
        <f t="shared" si="6"/>
        <v>21</v>
      </c>
      <c r="AE9" s="680"/>
      <c r="AF9" s="682">
        <v>1.5</v>
      </c>
      <c r="AG9" s="683"/>
      <c r="AH9" s="684">
        <f>(1+Faktory!$D$16)*960</f>
        <v>1152</v>
      </c>
      <c r="AI9" s="675">
        <f t="shared" si="7"/>
        <v>0</v>
      </c>
      <c r="AJ9" s="676">
        <f t="shared" si="1"/>
        <v>36288</v>
      </c>
      <c r="AK9" s="556"/>
      <c r="AL9" s="559">
        <f t="shared" si="2"/>
        <v>21</v>
      </c>
      <c r="AM9" s="560">
        <f t="shared" si="8"/>
        <v>21</v>
      </c>
      <c r="AN9" s="682"/>
      <c r="AO9" s="682">
        <f t="shared" si="9"/>
        <v>1.5</v>
      </c>
      <c r="AP9" s="585">
        <f t="shared" si="3"/>
        <v>0</v>
      </c>
      <c r="AQ9" s="586">
        <f t="shared" si="3"/>
        <v>36288</v>
      </c>
      <c r="AS9" s="559">
        <f t="shared" si="4"/>
        <v>0</v>
      </c>
      <c r="AT9" s="560">
        <f t="shared" si="10"/>
        <v>0</v>
      </c>
      <c r="AU9" s="682"/>
      <c r="AV9" s="682">
        <f t="shared" si="11"/>
        <v>1.5</v>
      </c>
      <c r="AW9" s="585">
        <f t="shared" si="5"/>
        <v>0</v>
      </c>
      <c r="AX9" s="586">
        <f t="shared" si="5"/>
        <v>0</v>
      </c>
      <c r="AY9" s="526">
        <v>15360</v>
      </c>
    </row>
    <row r="10" spans="1:51" ht="12" x14ac:dyDescent="0.2">
      <c r="A10" s="531" t="s">
        <v>350</v>
      </c>
      <c r="B10" s="532" t="s">
        <v>336</v>
      </c>
      <c r="C10" s="551" t="s">
        <v>496</v>
      </c>
      <c r="D10" s="528"/>
      <c r="E10" s="558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61"/>
      <c r="AD10" s="562"/>
      <c r="AE10" s="681"/>
      <c r="AF10" s="685"/>
      <c r="AG10" s="686"/>
      <c r="AH10" s="687"/>
      <c r="AI10" s="675"/>
      <c r="AJ10" s="676"/>
      <c r="AK10" s="556"/>
      <c r="AL10" s="561"/>
      <c r="AM10" s="562"/>
      <c r="AN10" s="685"/>
      <c r="AO10" s="685"/>
      <c r="AP10" s="585"/>
      <c r="AQ10" s="586"/>
      <c r="AS10" s="561"/>
      <c r="AT10" s="562"/>
      <c r="AU10" s="685"/>
      <c r="AV10" s="685"/>
      <c r="AW10" s="585"/>
      <c r="AX10" s="586"/>
    </row>
    <row r="11" spans="1:51" ht="13.2" x14ac:dyDescent="0.2">
      <c r="A11" s="531" t="s">
        <v>351</v>
      </c>
      <c r="B11" s="532" t="s">
        <v>331</v>
      </c>
      <c r="C11" s="557" t="s">
        <v>497</v>
      </c>
      <c r="D11" s="528"/>
      <c r="E11" s="558"/>
      <c r="F11" s="552"/>
      <c r="G11" s="552"/>
      <c r="H11" s="552"/>
      <c r="I11" s="552"/>
      <c r="J11" s="552"/>
      <c r="K11" s="552"/>
      <c r="L11" s="552">
        <v>1</v>
      </c>
      <c r="M11" s="552">
        <v>1</v>
      </c>
      <c r="N11" s="552">
        <v>1</v>
      </c>
      <c r="O11" s="552">
        <v>1</v>
      </c>
      <c r="P11" s="553">
        <v>1</v>
      </c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9">
        <f>COUNTA(E11:AB11)*21</f>
        <v>105</v>
      </c>
      <c r="AD11" s="560">
        <f t="shared" si="6"/>
        <v>105</v>
      </c>
      <c r="AE11" s="680"/>
      <c r="AF11" s="682">
        <v>0.25</v>
      </c>
      <c r="AG11" s="683"/>
      <c r="AH11" s="684">
        <f>(1+Faktory!$D$16)*960</f>
        <v>1152</v>
      </c>
      <c r="AI11" s="675">
        <f t="shared" si="7"/>
        <v>0</v>
      </c>
      <c r="AJ11" s="676">
        <f t="shared" si="1"/>
        <v>30240</v>
      </c>
      <c r="AK11" s="556"/>
      <c r="AL11" s="559">
        <f>COUNTA(E11:P11)*21</f>
        <v>105</v>
      </c>
      <c r="AM11" s="560">
        <f t="shared" ref="AM11:AM15" si="12">AL11</f>
        <v>105</v>
      </c>
      <c r="AN11" s="682"/>
      <c r="AO11" s="682">
        <f t="shared" ref="AO11:AO15" si="13">AF11</f>
        <v>0.25</v>
      </c>
      <c r="AP11" s="585">
        <f t="shared" ref="AP11:AQ15" si="14">AL11*AN11*AG11</f>
        <v>0</v>
      </c>
      <c r="AQ11" s="586">
        <f t="shared" si="14"/>
        <v>30240</v>
      </c>
      <c r="AS11" s="559">
        <f>COUNTA(Q11:AB11)*21</f>
        <v>0</v>
      </c>
      <c r="AT11" s="560">
        <f t="shared" ref="AT11:AT15" si="15">AS11</f>
        <v>0</v>
      </c>
      <c r="AU11" s="682"/>
      <c r="AV11" s="682">
        <f t="shared" ref="AV11:AV17" si="16">AF11</f>
        <v>0.25</v>
      </c>
      <c r="AW11" s="585">
        <f t="shared" ref="AW11:AX15" si="17">AS11*AU11*AG11</f>
        <v>0</v>
      </c>
      <c r="AX11" s="586">
        <f t="shared" si="17"/>
        <v>0</v>
      </c>
      <c r="AY11" s="526">
        <v>28800</v>
      </c>
    </row>
    <row r="12" spans="1:51" ht="13.2" x14ac:dyDescent="0.2">
      <c r="A12" s="531" t="s">
        <v>352</v>
      </c>
      <c r="B12" s="532" t="s">
        <v>332</v>
      </c>
      <c r="C12" s="557" t="s">
        <v>498</v>
      </c>
      <c r="D12" s="528"/>
      <c r="E12" s="558"/>
      <c r="F12" s="552"/>
      <c r="G12" s="552"/>
      <c r="H12" s="552"/>
      <c r="I12" s="552"/>
      <c r="J12" s="552"/>
      <c r="K12" s="552"/>
      <c r="L12" s="552"/>
      <c r="M12" s="552">
        <v>1</v>
      </c>
      <c r="N12" s="552">
        <v>1</v>
      </c>
      <c r="O12" s="552">
        <v>1</v>
      </c>
      <c r="P12" s="553">
        <v>1</v>
      </c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9">
        <f>COUNTA(E12:AB12)*21</f>
        <v>84</v>
      </c>
      <c r="AD12" s="560">
        <f t="shared" si="6"/>
        <v>84</v>
      </c>
      <c r="AE12" s="680"/>
      <c r="AF12" s="682">
        <v>1</v>
      </c>
      <c r="AG12" s="683"/>
      <c r="AH12" s="684">
        <f>(1+Faktory!$D$16)*960</f>
        <v>1152</v>
      </c>
      <c r="AI12" s="675">
        <f t="shared" si="7"/>
        <v>0</v>
      </c>
      <c r="AJ12" s="676">
        <f t="shared" si="1"/>
        <v>96768</v>
      </c>
      <c r="AK12" s="556"/>
      <c r="AL12" s="559">
        <f>COUNTA(E12:P12)*21</f>
        <v>84</v>
      </c>
      <c r="AM12" s="560">
        <f t="shared" si="12"/>
        <v>84</v>
      </c>
      <c r="AN12" s="682"/>
      <c r="AO12" s="682">
        <f t="shared" si="13"/>
        <v>1</v>
      </c>
      <c r="AP12" s="585">
        <f t="shared" si="14"/>
        <v>0</v>
      </c>
      <c r="AQ12" s="586">
        <f t="shared" si="14"/>
        <v>96768</v>
      </c>
      <c r="AS12" s="559">
        <f>COUNTA(Q12:AB12)*21</f>
        <v>0</v>
      </c>
      <c r="AT12" s="560">
        <f t="shared" si="15"/>
        <v>0</v>
      </c>
      <c r="AU12" s="682"/>
      <c r="AV12" s="682">
        <f t="shared" si="16"/>
        <v>1</v>
      </c>
      <c r="AW12" s="585">
        <f t="shared" si="17"/>
        <v>0</v>
      </c>
      <c r="AX12" s="586">
        <f t="shared" si="17"/>
        <v>0</v>
      </c>
      <c r="AY12" s="526">
        <v>120000</v>
      </c>
    </row>
    <row r="13" spans="1:51" ht="13.2" x14ac:dyDescent="0.2">
      <c r="A13" s="531" t="s">
        <v>353</v>
      </c>
      <c r="B13" s="532" t="s">
        <v>333</v>
      </c>
      <c r="C13" s="557" t="s">
        <v>499</v>
      </c>
      <c r="D13" s="528"/>
      <c r="E13" s="558"/>
      <c r="F13" s="552"/>
      <c r="G13" s="552"/>
      <c r="H13" s="552"/>
      <c r="I13" s="552"/>
      <c r="J13" s="552"/>
      <c r="K13" s="552"/>
      <c r="L13" s="552"/>
      <c r="M13" s="552"/>
      <c r="N13" s="552"/>
      <c r="O13" s="552">
        <v>1</v>
      </c>
      <c r="P13" s="553">
        <v>1</v>
      </c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9">
        <f>COUNTA(E13:AB13)*21</f>
        <v>42</v>
      </c>
      <c r="AD13" s="560">
        <f t="shared" si="6"/>
        <v>42</v>
      </c>
      <c r="AE13" s="680"/>
      <c r="AF13" s="682">
        <v>1</v>
      </c>
      <c r="AG13" s="683"/>
      <c r="AH13" s="684">
        <f>(1+Faktory!$D$16)*960</f>
        <v>1152</v>
      </c>
      <c r="AI13" s="675">
        <f t="shared" si="7"/>
        <v>0</v>
      </c>
      <c r="AJ13" s="676">
        <f t="shared" si="1"/>
        <v>48384</v>
      </c>
      <c r="AK13" s="556"/>
      <c r="AL13" s="559">
        <f>COUNTA(E13:P13)*21</f>
        <v>42</v>
      </c>
      <c r="AM13" s="560">
        <f t="shared" si="12"/>
        <v>42</v>
      </c>
      <c r="AN13" s="682"/>
      <c r="AO13" s="682">
        <f t="shared" si="13"/>
        <v>1</v>
      </c>
      <c r="AP13" s="585">
        <f t="shared" si="14"/>
        <v>0</v>
      </c>
      <c r="AQ13" s="586">
        <f t="shared" si="14"/>
        <v>48384</v>
      </c>
      <c r="AS13" s="559">
        <f>COUNTA(Q13:AB13)*21</f>
        <v>0</v>
      </c>
      <c r="AT13" s="560">
        <f t="shared" si="15"/>
        <v>0</v>
      </c>
      <c r="AU13" s="682"/>
      <c r="AV13" s="682">
        <f t="shared" si="16"/>
        <v>1</v>
      </c>
      <c r="AW13" s="585">
        <f t="shared" si="17"/>
        <v>0</v>
      </c>
      <c r="AX13" s="586">
        <f t="shared" si="17"/>
        <v>0</v>
      </c>
      <c r="AY13" s="526">
        <v>19200</v>
      </c>
    </row>
    <row r="14" spans="1:51" ht="13.2" x14ac:dyDescent="0.2">
      <c r="A14" s="531" t="s">
        <v>354</v>
      </c>
      <c r="B14" s="532" t="s">
        <v>334</v>
      </c>
      <c r="C14" s="557" t="s">
        <v>500</v>
      </c>
      <c r="D14" s="528"/>
      <c r="E14" s="558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3">
        <v>1</v>
      </c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9">
        <f>COUNTA(E14:AB14)*21</f>
        <v>21</v>
      </c>
      <c r="AD14" s="560">
        <f t="shared" si="6"/>
        <v>21</v>
      </c>
      <c r="AE14" s="680"/>
      <c r="AF14" s="682">
        <v>1</v>
      </c>
      <c r="AG14" s="683"/>
      <c r="AH14" s="684">
        <f>(1+Faktory!$D$16)*960</f>
        <v>1152</v>
      </c>
      <c r="AI14" s="675">
        <f t="shared" si="7"/>
        <v>0</v>
      </c>
      <c r="AJ14" s="676">
        <f t="shared" si="1"/>
        <v>24192</v>
      </c>
      <c r="AK14" s="556"/>
      <c r="AL14" s="559">
        <f>COUNTA(E14:P14)*21</f>
        <v>21</v>
      </c>
      <c r="AM14" s="560">
        <f t="shared" si="12"/>
        <v>21</v>
      </c>
      <c r="AN14" s="682"/>
      <c r="AO14" s="682">
        <f t="shared" si="13"/>
        <v>1</v>
      </c>
      <c r="AP14" s="585">
        <f t="shared" si="14"/>
        <v>0</v>
      </c>
      <c r="AQ14" s="586">
        <f t="shared" si="14"/>
        <v>24192</v>
      </c>
      <c r="AS14" s="559">
        <f>COUNTA(Q14:AB14)*21</f>
        <v>0</v>
      </c>
      <c r="AT14" s="560">
        <f t="shared" si="15"/>
        <v>0</v>
      </c>
      <c r="AU14" s="682"/>
      <c r="AV14" s="682">
        <f t="shared" si="16"/>
        <v>1</v>
      </c>
      <c r="AW14" s="585">
        <f t="shared" si="17"/>
        <v>0</v>
      </c>
      <c r="AX14" s="586">
        <f t="shared" si="17"/>
        <v>0</v>
      </c>
      <c r="AY14" s="526">
        <v>4800</v>
      </c>
    </row>
    <row r="15" spans="1:51" ht="13.2" x14ac:dyDescent="0.2">
      <c r="A15" s="531" t="s">
        <v>355</v>
      </c>
      <c r="B15" s="532" t="s">
        <v>335</v>
      </c>
      <c r="C15" s="557" t="s">
        <v>501</v>
      </c>
      <c r="D15" s="528"/>
      <c r="E15" s="558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3">
        <v>1</v>
      </c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9">
        <f>COUNTA(E15:AB15)*21</f>
        <v>21</v>
      </c>
      <c r="AD15" s="560">
        <f t="shared" si="6"/>
        <v>21</v>
      </c>
      <c r="AE15" s="680"/>
      <c r="AF15" s="682">
        <v>3.5</v>
      </c>
      <c r="AG15" s="683"/>
      <c r="AH15" s="684">
        <f>(1+Faktory!$D$16)*960</f>
        <v>1152</v>
      </c>
      <c r="AI15" s="675">
        <f t="shared" si="7"/>
        <v>0</v>
      </c>
      <c r="AJ15" s="676">
        <f t="shared" si="1"/>
        <v>84672</v>
      </c>
      <c r="AK15" s="556"/>
      <c r="AL15" s="559">
        <f>COUNTA(E15:P15)*21</f>
        <v>21</v>
      </c>
      <c r="AM15" s="560">
        <f t="shared" si="12"/>
        <v>21</v>
      </c>
      <c r="AN15" s="682"/>
      <c r="AO15" s="682">
        <f t="shared" si="13"/>
        <v>3.5</v>
      </c>
      <c r="AP15" s="585">
        <f t="shared" si="14"/>
        <v>0</v>
      </c>
      <c r="AQ15" s="586">
        <f t="shared" si="14"/>
        <v>84672</v>
      </c>
      <c r="AS15" s="559">
        <f>COUNTA(Q15:AB15)*21</f>
        <v>0</v>
      </c>
      <c r="AT15" s="560">
        <f t="shared" si="15"/>
        <v>0</v>
      </c>
      <c r="AU15" s="682"/>
      <c r="AV15" s="682">
        <f t="shared" si="16"/>
        <v>3.5</v>
      </c>
      <c r="AW15" s="585">
        <f t="shared" si="17"/>
        <v>0</v>
      </c>
      <c r="AX15" s="586">
        <f t="shared" si="17"/>
        <v>0</v>
      </c>
      <c r="AY15" s="526">
        <v>76800</v>
      </c>
    </row>
    <row r="16" spans="1:51" ht="12" x14ac:dyDescent="0.2">
      <c r="A16" s="531" t="s">
        <v>356</v>
      </c>
      <c r="B16" s="532" t="s">
        <v>363</v>
      </c>
      <c r="C16" s="551" t="str">
        <f t="shared" ref="C16:C17" si="18">A16&amp;" "&amp;B16</f>
        <v>6. Riadenie kvality projektu</v>
      </c>
      <c r="D16" s="528"/>
      <c r="E16" s="558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3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61"/>
      <c r="AD16" s="562"/>
      <c r="AE16" s="681"/>
      <c r="AF16" s="685"/>
      <c r="AG16" s="686"/>
      <c r="AH16" s="687"/>
      <c r="AI16" s="675"/>
      <c r="AJ16" s="676"/>
      <c r="AK16" s="556"/>
      <c r="AL16" s="561"/>
      <c r="AM16" s="562"/>
      <c r="AN16" s="685"/>
      <c r="AO16" s="685"/>
      <c r="AP16" s="585"/>
      <c r="AQ16" s="586"/>
      <c r="AS16" s="561"/>
      <c r="AT16" s="562"/>
      <c r="AU16" s="685"/>
      <c r="AV16" s="685"/>
      <c r="AW16" s="585"/>
      <c r="AX16" s="586"/>
    </row>
    <row r="17" spans="1:51" ht="13.8" thickBot="1" x14ac:dyDescent="0.25">
      <c r="A17" s="531" t="s">
        <v>357</v>
      </c>
      <c r="B17" s="532" t="s">
        <v>151</v>
      </c>
      <c r="C17" s="557" t="str">
        <f t="shared" si="18"/>
        <v xml:space="preserve">6.1 Projektové riadenie </v>
      </c>
      <c r="D17" s="528"/>
      <c r="E17" s="558">
        <v>1</v>
      </c>
      <c r="F17" s="552">
        <v>1</v>
      </c>
      <c r="G17" s="552">
        <v>1</v>
      </c>
      <c r="H17" s="552">
        <v>1</v>
      </c>
      <c r="I17" s="552">
        <v>1</v>
      </c>
      <c r="J17" s="552">
        <v>1</v>
      </c>
      <c r="K17" s="552">
        <v>1</v>
      </c>
      <c r="L17" s="552">
        <v>1</v>
      </c>
      <c r="M17" s="552">
        <v>1</v>
      </c>
      <c r="N17" s="552">
        <v>1</v>
      </c>
      <c r="O17" s="552">
        <v>1</v>
      </c>
      <c r="P17" s="674">
        <v>1</v>
      </c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9">
        <f>COUNTA(E17:AB17)*21</f>
        <v>252</v>
      </c>
      <c r="AD17" s="560">
        <f t="shared" ref="AD17" si="19">COUNTA(E17:AB17)*21</f>
        <v>252</v>
      </c>
      <c r="AE17" s="680"/>
      <c r="AF17" s="682">
        <v>0.5</v>
      </c>
      <c r="AG17" s="683"/>
      <c r="AH17" s="684">
        <f>(1+Faktory!$D$16)*960</f>
        <v>1152</v>
      </c>
      <c r="AI17" s="675">
        <f t="shared" ref="AI17" si="20">AC17*AE17*AG17</f>
        <v>0</v>
      </c>
      <c r="AJ17" s="676">
        <f t="shared" ref="AJ17" si="21">AD17*AF17*AH17</f>
        <v>145152</v>
      </c>
      <c r="AK17" s="556"/>
      <c r="AL17" s="559">
        <f>COUNTA(E17:P17)*21</f>
        <v>252</v>
      </c>
      <c r="AM17" s="560">
        <f t="shared" ref="AM17" si="22">AL17</f>
        <v>252</v>
      </c>
      <c r="AN17" s="682"/>
      <c r="AO17" s="682">
        <f>AF17</f>
        <v>0.5</v>
      </c>
      <c r="AP17" s="585">
        <f>AL17*AN17*AG17</f>
        <v>0</v>
      </c>
      <c r="AQ17" s="586">
        <f>AM17*AO17*AH17</f>
        <v>145152</v>
      </c>
      <c r="AS17" s="559">
        <f>COUNTA(Q17:AB17)*21</f>
        <v>0</v>
      </c>
      <c r="AT17" s="560">
        <f t="shared" ref="AT17" si="23">AS17</f>
        <v>0</v>
      </c>
      <c r="AU17" s="682"/>
      <c r="AV17" s="682">
        <f t="shared" si="16"/>
        <v>0.5</v>
      </c>
      <c r="AW17" s="585">
        <f>AS17*AU17*AG17</f>
        <v>0</v>
      </c>
      <c r="AX17" s="586">
        <f>AT17*AV17*AH17</f>
        <v>0</v>
      </c>
      <c r="AY17" s="526">
        <v>91200</v>
      </c>
    </row>
    <row r="18" spans="1:51" ht="12.6" thickBot="1" x14ac:dyDescent="0.3">
      <c r="C18" s="563" t="s">
        <v>152</v>
      </c>
      <c r="D18" s="564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6"/>
      <c r="AD18" s="566"/>
      <c r="AE18" s="566"/>
      <c r="AF18" s="566"/>
      <c r="AG18" s="587"/>
      <c r="AH18" s="587"/>
      <c r="AI18" s="677">
        <f>SUM(AI4:AI17)</f>
        <v>0</v>
      </c>
      <c r="AJ18" s="678">
        <f>SUM(AJ4:AJ17)</f>
        <v>1808352</v>
      </c>
      <c r="AK18" s="556"/>
      <c r="AL18" s="566"/>
      <c r="AM18" s="566"/>
      <c r="AN18" s="566"/>
      <c r="AO18" s="566"/>
      <c r="AP18" s="588">
        <f>SUM(AP4:AP17)</f>
        <v>0</v>
      </c>
      <c r="AQ18" s="589">
        <f>SUM(AQ4:AQ17)</f>
        <v>1808352</v>
      </c>
      <c r="AS18" s="566"/>
      <c r="AT18" s="566"/>
      <c r="AU18" s="566"/>
      <c r="AV18" s="566"/>
      <c r="AW18" s="588">
        <f>SUM(AW4:AW17)</f>
        <v>0</v>
      </c>
      <c r="AX18" s="589">
        <f>SUM(AX4:AX17)</f>
        <v>0</v>
      </c>
    </row>
    <row r="20" spans="1:51" x14ac:dyDescent="0.2">
      <c r="C20" s="526" t="s">
        <v>393</v>
      </c>
      <c r="AJ20" s="590">
        <f>-AJ17</f>
        <v>-145152</v>
      </c>
      <c r="AQ20" s="590">
        <f>-AQ17</f>
        <v>-145152</v>
      </c>
      <c r="AX20" s="590">
        <f>-AX17</f>
        <v>0</v>
      </c>
    </row>
    <row r="21" spans="1:51" x14ac:dyDescent="0.2">
      <c r="AJ21" s="590">
        <f>SUM(AJ18:AJ20)</f>
        <v>1663200</v>
      </c>
      <c r="AQ21" s="590">
        <f>SUM(AQ18:AQ20)</f>
        <v>1663200</v>
      </c>
      <c r="AX21" s="590">
        <f>SUM(AX18:AX20)</f>
        <v>0</v>
      </c>
    </row>
    <row r="22" spans="1:51" x14ac:dyDescent="0.2">
      <c r="AJ22" s="591">
        <f>AJ21-SUM('TCO TO BE- SW'!F26:F35)</f>
        <v>0</v>
      </c>
      <c r="AK22" s="679"/>
      <c r="AL22" s="567"/>
      <c r="AQ22" s="591">
        <f>AQ21-'TCO TO BE- SW'!F26</f>
        <v>0</v>
      </c>
      <c r="AS22" s="567"/>
      <c r="AW22" s="577"/>
      <c r="AX22" s="591">
        <f>AX21-'TCO TO BE- SW'!F27</f>
        <v>0</v>
      </c>
    </row>
    <row r="25" spans="1:51" x14ac:dyDescent="0.2">
      <c r="D25" s="568"/>
    </row>
  </sheetData>
  <conditionalFormatting sqref="E4:AB15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Q16:AB16 E16:O16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E17:O17 Q17:AB17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P16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P1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view="pageBreakPreview" zoomScale="90" zoomScaleNormal="100" zoomScaleSheetLayoutView="90" workbookViewId="0">
      <selection activeCell="E2" sqref="E2"/>
    </sheetView>
  </sheetViews>
  <sheetFormatPr defaultColWidth="8.88671875" defaultRowHeight="14.4" x14ac:dyDescent="0.3"/>
  <cols>
    <col min="1" max="1" width="51.44140625" customWidth="1"/>
    <col min="2" max="2" width="13.44140625" bestFit="1" customWidth="1"/>
    <col min="4" max="4" width="22.33203125" customWidth="1"/>
    <col min="5" max="5" width="19.6640625" customWidth="1"/>
    <col min="6" max="6" width="48.88671875" customWidth="1"/>
    <col min="7" max="7" width="8.88671875" style="593"/>
  </cols>
  <sheetData>
    <row r="1" spans="1:7" ht="15" thickBot="1" x14ac:dyDescent="0.35"/>
    <row r="2" spans="1:7" ht="15" thickBot="1" x14ac:dyDescent="0.35">
      <c r="A2" s="451" t="s">
        <v>288</v>
      </c>
      <c r="B2" s="451" t="s">
        <v>289</v>
      </c>
      <c r="C2" s="451" t="s">
        <v>290</v>
      </c>
      <c r="D2" s="455" t="s">
        <v>588</v>
      </c>
      <c r="E2" s="455" t="s">
        <v>589</v>
      </c>
      <c r="F2" s="451" t="s">
        <v>291</v>
      </c>
      <c r="G2" s="593" t="s">
        <v>384</v>
      </c>
    </row>
    <row r="3" spans="1:7" x14ac:dyDescent="0.3">
      <c r="A3" s="449" t="s">
        <v>329</v>
      </c>
      <c r="B3" s="452" t="s">
        <v>292</v>
      </c>
      <c r="C3" s="452">
        <v>220</v>
      </c>
      <c r="D3" s="529">
        <f>(1+Faktory!$D$16)*70</f>
        <v>84</v>
      </c>
      <c r="E3" s="665">
        <v>15400</v>
      </c>
      <c r="F3" s="450"/>
      <c r="G3" s="593">
        <v>1</v>
      </c>
    </row>
    <row r="4" spans="1:7" x14ac:dyDescent="0.3">
      <c r="A4" s="246" t="s">
        <v>486</v>
      </c>
      <c r="B4" s="453" t="s">
        <v>292</v>
      </c>
      <c r="C4" s="453">
        <v>220</v>
      </c>
      <c r="D4" s="530">
        <f>(1+Faktory!$D$16)*200</f>
        <v>240</v>
      </c>
      <c r="E4" s="665">
        <v>44000</v>
      </c>
      <c r="F4" s="448"/>
      <c r="G4" s="593">
        <v>1</v>
      </c>
    </row>
    <row r="5" spans="1:7" ht="55.2" x14ac:dyDescent="0.3">
      <c r="A5" s="666" t="s">
        <v>487</v>
      </c>
      <c r="B5" s="453" t="s">
        <v>292</v>
      </c>
      <c r="C5" s="453">
        <v>2</v>
      </c>
      <c r="D5" s="530">
        <f>(1+Faktory!$D$16)*1500</f>
        <v>1800</v>
      </c>
      <c r="E5" s="665">
        <v>3000</v>
      </c>
      <c r="F5" s="448"/>
      <c r="G5" s="593">
        <v>1</v>
      </c>
    </row>
    <row r="6" spans="1:7" x14ac:dyDescent="0.3">
      <c r="A6" s="666" t="s">
        <v>488</v>
      </c>
      <c r="B6" s="453" t="s">
        <v>292</v>
      </c>
      <c r="C6" s="453">
        <v>4</v>
      </c>
      <c r="D6" s="530">
        <f>(1+Faktory!$D$16)*100</f>
        <v>120</v>
      </c>
      <c r="E6" s="665">
        <v>400</v>
      </c>
      <c r="F6" s="448"/>
      <c r="G6" s="593">
        <v>1</v>
      </c>
    </row>
    <row r="7" spans="1:7" x14ac:dyDescent="0.3">
      <c r="A7" s="246" t="s">
        <v>489</v>
      </c>
      <c r="B7" s="453" t="s">
        <v>292</v>
      </c>
      <c r="C7" s="453">
        <v>4</v>
      </c>
      <c r="D7" s="530">
        <f>(1+Faktory!$D$16)*100</f>
        <v>120</v>
      </c>
      <c r="E7" s="665">
        <v>400</v>
      </c>
      <c r="F7" s="448"/>
      <c r="G7" s="593">
        <v>1</v>
      </c>
    </row>
    <row r="8" spans="1:7" x14ac:dyDescent="0.3">
      <c r="A8" s="246"/>
      <c r="B8" s="453"/>
      <c r="C8" s="453"/>
      <c r="D8" s="530"/>
      <c r="E8" s="665"/>
      <c r="F8" s="448"/>
    </row>
    <row r="9" spans="1:7" x14ac:dyDescent="0.3">
      <c r="A9" s="246"/>
      <c r="B9" s="453"/>
      <c r="C9" s="453"/>
      <c r="D9" s="530"/>
      <c r="E9" s="665"/>
      <c r="F9" s="448"/>
    </row>
    <row r="10" spans="1:7" x14ac:dyDescent="0.3">
      <c r="A10" s="246"/>
      <c r="B10" s="453"/>
      <c r="C10" s="453"/>
      <c r="D10" s="530"/>
      <c r="E10" s="665"/>
      <c r="F10" s="448"/>
    </row>
    <row r="11" spans="1:7" x14ac:dyDescent="0.3">
      <c r="A11" s="246"/>
      <c r="B11" s="453"/>
      <c r="C11" s="453"/>
      <c r="D11" s="530"/>
      <c r="E11" s="665"/>
      <c r="F11" s="448"/>
    </row>
    <row r="12" spans="1:7" x14ac:dyDescent="0.3">
      <c r="A12" s="246"/>
      <c r="B12" s="453"/>
      <c r="C12" s="453"/>
      <c r="D12" s="530"/>
      <c r="E12" s="665"/>
      <c r="F12" s="448"/>
    </row>
    <row r="13" spans="1:7" x14ac:dyDescent="0.3">
      <c r="A13" s="246"/>
      <c r="B13" s="453"/>
      <c r="C13" s="453"/>
      <c r="D13" s="456"/>
      <c r="E13" s="454"/>
      <c r="F13" s="448"/>
    </row>
    <row r="14" spans="1:7" x14ac:dyDescent="0.3">
      <c r="A14" s="246"/>
      <c r="B14" s="453"/>
      <c r="C14" s="453"/>
      <c r="D14" s="456"/>
      <c r="E14" s="454"/>
      <c r="F14" s="448"/>
    </row>
    <row r="15" spans="1:7" x14ac:dyDescent="0.3">
      <c r="A15" s="246"/>
      <c r="B15" s="453"/>
      <c r="C15" s="453"/>
      <c r="D15" s="456"/>
      <c r="E15" s="454"/>
      <c r="F15" s="448"/>
    </row>
    <row r="16" spans="1:7" x14ac:dyDescent="0.3">
      <c r="A16" s="246"/>
      <c r="B16" s="453"/>
      <c r="C16" s="453"/>
      <c r="D16" s="456"/>
      <c r="E16" s="454"/>
      <c r="F16" s="448"/>
    </row>
    <row r="17" spans="1:6" x14ac:dyDescent="0.3">
      <c r="A17" s="246"/>
      <c r="B17" s="453"/>
      <c r="C17" s="453"/>
      <c r="D17" s="456"/>
      <c r="E17" s="454"/>
      <c r="F17" s="448"/>
    </row>
    <row r="18" spans="1:6" x14ac:dyDescent="0.3">
      <c r="A18" s="246"/>
      <c r="B18" s="453"/>
      <c r="C18" s="453"/>
      <c r="D18" s="456"/>
      <c r="E18" s="454"/>
      <c r="F18" s="448"/>
    </row>
    <row r="19" spans="1:6" x14ac:dyDescent="0.3">
      <c r="A19" s="246"/>
      <c r="B19" s="453"/>
      <c r="C19" s="453"/>
      <c r="D19" s="456"/>
      <c r="E19" s="454"/>
      <c r="F19" s="448"/>
    </row>
    <row r="20" spans="1:6" x14ac:dyDescent="0.3">
      <c r="A20" s="246"/>
      <c r="B20" s="453"/>
      <c r="C20" s="453"/>
      <c r="D20" s="456"/>
      <c r="E20" s="454"/>
      <c r="F20" s="448"/>
    </row>
    <row r="21" spans="1:6" x14ac:dyDescent="0.3">
      <c r="A21" s="246"/>
      <c r="B21" s="453"/>
      <c r="C21" s="453"/>
      <c r="D21" s="456"/>
      <c r="E21" s="454"/>
      <c r="F21" s="448"/>
    </row>
    <row r="22" spans="1:6" x14ac:dyDescent="0.3">
      <c r="A22" s="246"/>
      <c r="B22" s="453"/>
      <c r="C22" s="453"/>
      <c r="D22" s="456"/>
      <c r="E22" s="454"/>
      <c r="F22" s="448"/>
    </row>
    <row r="23" spans="1:6" x14ac:dyDescent="0.3">
      <c r="A23" s="246"/>
      <c r="B23" s="453"/>
      <c r="C23" s="453"/>
      <c r="D23" s="456"/>
      <c r="E23" s="454"/>
      <c r="F23" s="448"/>
    </row>
    <row r="24" spans="1:6" x14ac:dyDescent="0.3">
      <c r="A24" s="246"/>
      <c r="B24" s="453"/>
      <c r="C24" s="453"/>
      <c r="D24" s="456"/>
      <c r="E24" s="454"/>
      <c r="F24" s="448"/>
    </row>
    <row r="25" spans="1:6" x14ac:dyDescent="0.3">
      <c r="A25" s="246"/>
      <c r="B25" s="453"/>
      <c r="C25" s="453"/>
      <c r="D25" s="456"/>
      <c r="E25" s="454"/>
      <c r="F25" s="448"/>
    </row>
    <row r="26" spans="1:6" x14ac:dyDescent="0.3">
      <c r="A26" s="246"/>
      <c r="B26" s="453"/>
      <c r="C26" s="453"/>
      <c r="D26" s="456"/>
      <c r="E26" s="454"/>
      <c r="F26" s="448"/>
    </row>
    <row r="27" spans="1:6" x14ac:dyDescent="0.3">
      <c r="A27" s="246"/>
      <c r="B27" s="453"/>
      <c r="C27" s="453"/>
      <c r="D27" s="456"/>
      <c r="E27" s="454"/>
      <c r="F27" s="448"/>
    </row>
    <row r="28" spans="1:6" ht="15" thickBot="1" x14ac:dyDescent="0.35">
      <c r="A28" s="668"/>
      <c r="B28" s="669"/>
      <c r="C28" s="669"/>
      <c r="D28" s="670"/>
      <c r="E28" s="671"/>
      <c r="F28" s="672"/>
    </row>
    <row r="30" spans="1:6" x14ac:dyDescent="0.3">
      <c r="E30" s="667">
        <f>SUM(E3:E28)</f>
        <v>63200</v>
      </c>
    </row>
    <row r="31" spans="1:6" x14ac:dyDescent="0.3">
      <c r="E31" s="673">
        <f>E30-'TCO TO BE - HW'!E3</f>
        <v>0</v>
      </c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Q24"/>
  <sheetViews>
    <sheetView showGridLines="0" zoomScale="80" zoomScaleNormal="80" zoomScaleSheetLayoutView="90" workbookViewId="0">
      <pane ySplit="5" topLeftCell="A6" activePane="bottomLeft" state="frozen"/>
      <selection pane="bottomLeft" activeCell="A11" sqref="A11"/>
    </sheetView>
  </sheetViews>
  <sheetFormatPr defaultColWidth="8.6640625" defaultRowHeight="12" x14ac:dyDescent="0.25"/>
  <cols>
    <col min="1" max="1" width="36.33203125" style="121" customWidth="1"/>
    <col min="2" max="2" width="61.77734375" style="121" customWidth="1"/>
    <col min="3" max="3" width="3.33203125" style="121" customWidth="1"/>
    <col min="4" max="24" width="3.6640625" style="121" customWidth="1"/>
    <col min="25" max="25" width="4.44140625" style="121" customWidth="1"/>
    <col min="26" max="28" width="16.44140625" style="121" customWidth="1"/>
    <col min="29" max="29" width="18.109375" style="121" customWidth="1"/>
    <col min="30" max="30" width="9" style="121" customWidth="1"/>
    <col min="31" max="31" width="9.109375" style="121" customWidth="1"/>
    <col min="32" max="32" width="9" style="121" customWidth="1"/>
    <col min="33" max="33" width="10.6640625" style="122" customWidth="1"/>
    <col min="34" max="36" width="10.6640625" style="121" customWidth="1"/>
    <col min="37" max="37" width="52.109375" style="121" customWidth="1"/>
    <col min="38" max="38" width="51.6640625" style="121" customWidth="1"/>
    <col min="39" max="42" width="8.6640625" style="121"/>
    <col min="43" max="43" width="18.88671875" style="121" customWidth="1"/>
    <col min="44" max="16384" width="8.6640625" style="121"/>
  </cols>
  <sheetData>
    <row r="1" spans="1:43" ht="26.1" customHeight="1" thickBot="1" x14ac:dyDescent="0.35">
      <c r="A1" s="1114" t="s">
        <v>199</v>
      </c>
      <c r="B1" s="1115"/>
      <c r="C1" s="1114" t="s">
        <v>197</v>
      </c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6"/>
      <c r="W1" s="1116"/>
      <c r="X1" s="1116"/>
      <c r="Y1" s="1116"/>
      <c r="Z1" s="1116"/>
      <c r="AA1" s="1116"/>
      <c r="AB1" s="1116"/>
      <c r="AC1" s="1116"/>
      <c r="AD1" s="1116"/>
      <c r="AE1" s="1116"/>
      <c r="AF1" s="1116"/>
      <c r="AG1" s="1116"/>
      <c r="AH1" s="1116"/>
      <c r="AI1" s="1116"/>
      <c r="AJ1" s="1116"/>
      <c r="AK1" s="1116"/>
      <c r="AL1" s="1116"/>
      <c r="AM1" s="1116"/>
      <c r="AN1" s="1116"/>
      <c r="AO1" s="1116"/>
      <c r="AP1" s="1116"/>
      <c r="AQ1" s="1116"/>
    </row>
    <row r="2" spans="1:43" ht="12.6" thickBot="1" x14ac:dyDescent="0.3">
      <c r="A2" s="234"/>
      <c r="B2" s="233"/>
      <c r="C2" s="235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6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6"/>
      <c r="Z2" s="1122" t="s">
        <v>239</v>
      </c>
      <c r="AA2" s="1123"/>
      <c r="AB2" s="1123"/>
      <c r="AC2" s="1123"/>
      <c r="AD2" s="1123"/>
      <c r="AE2" s="1123"/>
      <c r="AF2" s="1123"/>
      <c r="AG2" s="1123"/>
      <c r="AH2" s="1123"/>
      <c r="AI2" s="1123"/>
      <c r="AJ2" s="1123"/>
      <c r="AK2" s="1124"/>
      <c r="AL2" s="1117" t="s">
        <v>238</v>
      </c>
      <c r="AM2" s="1118"/>
      <c r="AN2" s="1118"/>
      <c r="AO2" s="1118"/>
      <c r="AP2" s="1118"/>
      <c r="AQ2" s="1119"/>
    </row>
    <row r="3" spans="1:43" ht="10.8" customHeight="1" thickBot="1" x14ac:dyDescent="0.3">
      <c r="A3" s="264"/>
      <c r="B3" s="262"/>
      <c r="C3" s="263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1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1"/>
      <c r="Z3" s="1117" t="s">
        <v>296</v>
      </c>
      <c r="AA3" s="1118"/>
      <c r="AB3" s="1118"/>
      <c r="AC3" s="1118"/>
      <c r="AD3" s="1117" t="s">
        <v>297</v>
      </c>
      <c r="AE3" s="1118"/>
      <c r="AF3" s="1118"/>
      <c r="AG3" s="1118"/>
      <c r="AH3" s="1118"/>
      <c r="AI3" s="1118"/>
      <c r="AJ3" s="1118"/>
      <c r="AK3" s="1119"/>
      <c r="AL3" s="239"/>
      <c r="AM3" s="240"/>
      <c r="AN3" s="240"/>
      <c r="AO3" s="240"/>
      <c r="AP3" s="240"/>
      <c r="AQ3" s="232"/>
    </row>
    <row r="4" spans="1:43" ht="48" customHeight="1" x14ac:dyDescent="0.25">
      <c r="A4" s="264" t="s">
        <v>200</v>
      </c>
      <c r="B4" s="525" t="s">
        <v>308</v>
      </c>
      <c r="C4" s="263" t="s">
        <v>120</v>
      </c>
      <c r="D4" s="262" t="s">
        <v>121</v>
      </c>
      <c r="E4" s="262" t="s">
        <v>122</v>
      </c>
      <c r="F4" s="262" t="s">
        <v>123</v>
      </c>
      <c r="G4" s="262" t="s">
        <v>124</v>
      </c>
      <c r="H4" s="262" t="s">
        <v>125</v>
      </c>
      <c r="I4" s="262" t="s">
        <v>126</v>
      </c>
      <c r="J4" s="262" t="s">
        <v>127</v>
      </c>
      <c r="K4" s="262" t="s">
        <v>128</v>
      </c>
      <c r="L4" s="262" t="s">
        <v>129</v>
      </c>
      <c r="M4" s="262" t="s">
        <v>130</v>
      </c>
      <c r="N4" s="261" t="s">
        <v>131</v>
      </c>
      <c r="O4" s="262" t="s">
        <v>132</v>
      </c>
      <c r="P4" s="262" t="s">
        <v>133</v>
      </c>
      <c r="Q4" s="262" t="s">
        <v>134</v>
      </c>
      <c r="R4" s="262" t="s">
        <v>135</v>
      </c>
      <c r="S4" s="262" t="s">
        <v>136</v>
      </c>
      <c r="T4" s="262" t="s">
        <v>137</v>
      </c>
      <c r="U4" s="262" t="s">
        <v>138</v>
      </c>
      <c r="V4" s="262" t="s">
        <v>139</v>
      </c>
      <c r="W4" s="262" t="s">
        <v>140</v>
      </c>
      <c r="X4" s="262" t="s">
        <v>141</v>
      </c>
      <c r="Y4" s="261" t="s">
        <v>142</v>
      </c>
      <c r="Z4" s="235" t="s">
        <v>298</v>
      </c>
      <c r="AA4" s="233" t="s">
        <v>299</v>
      </c>
      <c r="AB4" s="233" t="s">
        <v>300</v>
      </c>
      <c r="AC4" s="233" t="s">
        <v>301</v>
      </c>
      <c r="AD4" s="237" t="s">
        <v>192</v>
      </c>
      <c r="AE4" s="238" t="s">
        <v>193</v>
      </c>
      <c r="AF4" s="238" t="s">
        <v>194</v>
      </c>
      <c r="AG4" s="232" t="s">
        <v>196</v>
      </c>
      <c r="AH4" s="232" t="s">
        <v>195</v>
      </c>
      <c r="AI4" s="232" t="s">
        <v>153</v>
      </c>
      <c r="AJ4" s="689" t="s">
        <v>198</v>
      </c>
      <c r="AK4" s="507" t="s">
        <v>201</v>
      </c>
      <c r="AL4" s="507" t="s">
        <v>237</v>
      </c>
      <c r="AM4" s="237" t="s">
        <v>192</v>
      </c>
      <c r="AN4" s="238" t="s">
        <v>193</v>
      </c>
      <c r="AO4" s="238" t="s">
        <v>194</v>
      </c>
      <c r="AP4" s="232" t="s">
        <v>196</v>
      </c>
      <c r="AQ4" s="1120" t="s">
        <v>236</v>
      </c>
    </row>
    <row r="5" spans="1:43" ht="8.25" customHeight="1" thickBot="1" x14ac:dyDescent="0.3">
      <c r="A5" s="123"/>
      <c r="B5" s="124"/>
      <c r="C5" s="125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6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6"/>
      <c r="Z5" s="125"/>
      <c r="AA5" s="124"/>
      <c r="AB5" s="124"/>
      <c r="AC5" s="124"/>
      <c r="AD5" s="239"/>
      <c r="AE5" s="240"/>
      <c r="AF5" s="240"/>
      <c r="AG5" s="242"/>
      <c r="AH5" s="242"/>
      <c r="AI5" s="242"/>
      <c r="AJ5" s="690"/>
      <c r="AK5" s="260"/>
      <c r="AL5" s="244"/>
      <c r="AM5" s="239"/>
      <c r="AN5" s="240"/>
      <c r="AO5" s="240"/>
      <c r="AP5" s="242"/>
      <c r="AQ5" s="1121"/>
    </row>
    <row r="6" spans="1:43" ht="24" x14ac:dyDescent="0.25">
      <c r="A6" s="693" t="str">
        <f>'Rozpočet - vývoj Aplikácií'!$C$4&amp;" (AIS KSED)"</f>
        <v>1. Podpora workflow pre inšpekčnú a povoľovaciu činnosť (AIS KSED)</v>
      </c>
      <c r="B6" s="693" t="s">
        <v>477</v>
      </c>
      <c r="C6" s="694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6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6"/>
      <c r="Z6" s="697"/>
      <c r="AA6" s="698"/>
      <c r="AB6" s="698"/>
      <c r="AC6" s="699"/>
      <c r="AD6" s="700"/>
      <c r="AE6" s="701"/>
      <c r="AF6" s="701"/>
      <c r="AG6" s="473">
        <f t="shared" ref="AG6:AG20" si="0">AD6*AF6+AC6</f>
        <v>0</v>
      </c>
      <c r="AH6" s="473">
        <f t="shared" ref="AH6:AH20" si="1">AE6*AF6+AC6</f>
        <v>0</v>
      </c>
      <c r="AI6" s="473">
        <f t="shared" ref="AI6:AI20" si="2">AH6-AG6</f>
        <v>0</v>
      </c>
      <c r="AJ6" s="690"/>
      <c r="AK6" s="702"/>
      <c r="AL6" s="474"/>
      <c r="AM6" s="700"/>
      <c r="AN6" s="701"/>
      <c r="AO6" s="701"/>
      <c r="AP6" s="473">
        <f t="shared" ref="AP6:AP20" si="3">AM6*AO6</f>
        <v>0</v>
      </c>
      <c r="AQ6" s="702"/>
    </row>
    <row r="7" spans="1:43" x14ac:dyDescent="0.25">
      <c r="A7" s="703"/>
      <c r="B7" s="703" t="s">
        <v>478</v>
      </c>
      <c r="C7" s="694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6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6"/>
      <c r="Z7" s="704"/>
      <c r="AA7" s="705"/>
      <c r="AB7" s="705"/>
      <c r="AC7" s="706"/>
      <c r="AD7" s="707"/>
      <c r="AE7" s="708"/>
      <c r="AF7" s="708"/>
      <c r="AG7" s="473"/>
      <c r="AH7" s="473"/>
      <c r="AI7" s="473"/>
      <c r="AJ7" s="690"/>
      <c r="AK7" s="709"/>
      <c r="AL7" s="474"/>
      <c r="AM7" s="707"/>
      <c r="AN7" s="708"/>
      <c r="AO7" s="708"/>
      <c r="AP7" s="473"/>
      <c r="AQ7" s="709"/>
    </row>
    <row r="8" spans="1:43" ht="84" x14ac:dyDescent="0.25">
      <c r="A8" s="703"/>
      <c r="B8" s="703" t="s">
        <v>479</v>
      </c>
      <c r="C8" s="694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6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6"/>
      <c r="Z8" s="704"/>
      <c r="AA8" s="705"/>
      <c r="AB8" s="705"/>
      <c r="AC8" s="706"/>
      <c r="AD8" s="707"/>
      <c r="AE8" s="708"/>
      <c r="AF8" s="708"/>
      <c r="AG8" s="473"/>
      <c r="AH8" s="473"/>
      <c r="AI8" s="473"/>
      <c r="AJ8" s="690"/>
      <c r="AK8" s="709"/>
      <c r="AL8" s="474"/>
      <c r="AM8" s="707"/>
      <c r="AN8" s="708"/>
      <c r="AO8" s="708"/>
      <c r="AP8" s="473"/>
      <c r="AQ8" s="709"/>
    </row>
    <row r="9" spans="1:43" x14ac:dyDescent="0.25">
      <c r="A9" s="703"/>
      <c r="B9" s="703" t="s">
        <v>480</v>
      </c>
      <c r="C9" s="694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6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6"/>
      <c r="Z9" s="704"/>
      <c r="AA9" s="705"/>
      <c r="AB9" s="705"/>
      <c r="AC9" s="706"/>
      <c r="AD9" s="707"/>
      <c r="AE9" s="708"/>
      <c r="AF9" s="708"/>
      <c r="AG9" s="473"/>
      <c r="AH9" s="473"/>
      <c r="AI9" s="473"/>
      <c r="AJ9" s="690"/>
      <c r="AK9" s="709"/>
      <c r="AL9" s="474"/>
      <c r="AM9" s="707"/>
      <c r="AN9" s="708"/>
      <c r="AO9" s="708"/>
      <c r="AP9" s="473"/>
      <c r="AQ9" s="709"/>
    </row>
    <row r="10" spans="1:43" ht="48" x14ac:dyDescent="0.25">
      <c r="A10" s="703"/>
      <c r="B10" s="703" t="s">
        <v>481</v>
      </c>
      <c r="C10" s="694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6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6"/>
      <c r="Z10" s="704"/>
      <c r="AA10" s="705"/>
      <c r="AB10" s="705"/>
      <c r="AC10" s="706"/>
      <c r="AD10" s="707"/>
      <c r="AE10" s="708"/>
      <c r="AF10" s="708"/>
      <c r="AG10" s="473"/>
      <c r="AH10" s="473"/>
      <c r="AI10" s="473"/>
      <c r="AJ10" s="690"/>
      <c r="AK10" s="709"/>
      <c r="AL10" s="474"/>
      <c r="AM10" s="707"/>
      <c r="AN10" s="708"/>
      <c r="AO10" s="708"/>
      <c r="AP10" s="473"/>
      <c r="AQ10" s="709"/>
    </row>
    <row r="11" spans="1:43" ht="36" x14ac:dyDescent="0.25">
      <c r="A11" s="703"/>
      <c r="B11" s="703" t="s">
        <v>482</v>
      </c>
      <c r="C11" s="694"/>
      <c r="D11" s="695"/>
      <c r="E11" s="695"/>
      <c r="F11" s="695"/>
      <c r="G11" s="695"/>
      <c r="H11" s="695"/>
      <c r="I11" s="695"/>
      <c r="J11" s="695"/>
      <c r="K11" s="695"/>
      <c r="L11" s="695"/>
      <c r="M11" s="695"/>
      <c r="N11" s="696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6"/>
      <c r="Z11" s="704"/>
      <c r="AA11" s="705"/>
      <c r="AB11" s="705"/>
      <c r="AC11" s="706"/>
      <c r="AD11" s="707"/>
      <c r="AE11" s="708"/>
      <c r="AF11" s="708"/>
      <c r="AG11" s="473"/>
      <c r="AH11" s="473"/>
      <c r="AI11" s="473"/>
      <c r="AJ11" s="690"/>
      <c r="AK11" s="709"/>
      <c r="AL11" s="474"/>
      <c r="AM11" s="707"/>
      <c r="AN11" s="708"/>
      <c r="AO11" s="708"/>
      <c r="AP11" s="473"/>
      <c r="AQ11" s="709"/>
    </row>
    <row r="12" spans="1:43" x14ac:dyDescent="0.25">
      <c r="A12" s="703"/>
      <c r="B12" s="703" t="s">
        <v>396</v>
      </c>
      <c r="C12" s="694"/>
      <c r="D12" s="695"/>
      <c r="E12" s="695"/>
      <c r="F12" s="695"/>
      <c r="G12" s="695"/>
      <c r="H12" s="695"/>
      <c r="I12" s="695"/>
      <c r="J12" s="695"/>
      <c r="K12" s="695"/>
      <c r="L12" s="695"/>
      <c r="M12" s="695"/>
      <c r="N12" s="696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6"/>
      <c r="Z12" s="704"/>
      <c r="AA12" s="705"/>
      <c r="AB12" s="705"/>
      <c r="AC12" s="706"/>
      <c r="AD12" s="707"/>
      <c r="AE12" s="708"/>
      <c r="AF12" s="708"/>
      <c r="AG12" s="473"/>
      <c r="AH12" s="473"/>
      <c r="AI12" s="473"/>
      <c r="AJ12" s="690"/>
      <c r="AK12" s="709"/>
      <c r="AL12" s="474"/>
      <c r="AM12" s="707"/>
      <c r="AN12" s="708"/>
      <c r="AO12" s="708"/>
      <c r="AP12" s="473"/>
      <c r="AQ12" s="709"/>
    </row>
    <row r="13" spans="1:43" ht="60" x14ac:dyDescent="0.25">
      <c r="A13" s="703"/>
      <c r="B13" s="703" t="s">
        <v>483</v>
      </c>
      <c r="C13" s="694"/>
      <c r="D13" s="695"/>
      <c r="E13" s="695"/>
      <c r="F13" s="695"/>
      <c r="G13" s="695"/>
      <c r="H13" s="695"/>
      <c r="I13" s="695"/>
      <c r="J13" s="695"/>
      <c r="K13" s="695"/>
      <c r="L13" s="695"/>
      <c r="M13" s="695"/>
      <c r="N13" s="696"/>
      <c r="O13" s="695"/>
      <c r="P13" s="695"/>
      <c r="Q13" s="695"/>
      <c r="R13" s="695"/>
      <c r="S13" s="695"/>
      <c r="T13" s="695"/>
      <c r="U13" s="695"/>
      <c r="V13" s="695"/>
      <c r="W13" s="695"/>
      <c r="X13" s="695"/>
      <c r="Y13" s="696"/>
      <c r="Z13" s="704"/>
      <c r="AA13" s="705"/>
      <c r="AB13" s="705"/>
      <c r="AC13" s="706"/>
      <c r="AD13" s="707"/>
      <c r="AE13" s="708"/>
      <c r="AF13" s="708"/>
      <c r="AG13" s="473"/>
      <c r="AH13" s="473"/>
      <c r="AI13" s="473"/>
      <c r="AJ13" s="690"/>
      <c r="AK13" s="709"/>
      <c r="AL13" s="474"/>
      <c r="AM13" s="707"/>
      <c r="AN13" s="708"/>
      <c r="AO13" s="708"/>
      <c r="AP13" s="473"/>
      <c r="AQ13" s="709"/>
    </row>
    <row r="14" spans="1:43" ht="24" x14ac:dyDescent="0.25">
      <c r="A14" s="710"/>
      <c r="B14" s="710" t="s">
        <v>397</v>
      </c>
      <c r="C14" s="694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6"/>
      <c r="O14" s="695"/>
      <c r="P14" s="695"/>
      <c r="Q14" s="695"/>
      <c r="R14" s="695"/>
      <c r="S14" s="695"/>
      <c r="T14" s="695"/>
      <c r="U14" s="695"/>
      <c r="V14" s="695"/>
      <c r="W14" s="695"/>
      <c r="X14" s="695"/>
      <c r="Y14" s="696"/>
      <c r="Z14" s="704"/>
      <c r="AA14" s="705"/>
      <c r="AB14" s="705"/>
      <c r="AC14" s="706"/>
      <c r="AD14" s="707"/>
      <c r="AE14" s="708"/>
      <c r="AF14" s="708"/>
      <c r="AG14" s="473"/>
      <c r="AH14" s="473"/>
      <c r="AI14" s="473"/>
      <c r="AJ14" s="690"/>
      <c r="AK14" s="709"/>
      <c r="AL14" s="474"/>
      <c r="AM14" s="707"/>
      <c r="AN14" s="708"/>
      <c r="AO14" s="708"/>
      <c r="AP14" s="473"/>
      <c r="AQ14" s="709"/>
    </row>
    <row r="15" spans="1:43" ht="24" x14ac:dyDescent="0.25">
      <c r="A15" s="693" t="str">
        <f>'Rozpočet - vývoj Aplikácií'!C10</f>
        <v>2. Rozšírenie integrácie workflow systému na IS MZV, IS Garbis, IS DKČ, IS IPKZ</v>
      </c>
      <c r="B15" s="703" t="s">
        <v>484</v>
      </c>
      <c r="C15" s="694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6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6"/>
      <c r="Z15" s="704"/>
      <c r="AA15" s="705"/>
      <c r="AB15" s="705"/>
      <c r="AC15" s="706"/>
      <c r="AD15" s="707"/>
      <c r="AE15" s="708"/>
      <c r="AF15" s="708"/>
      <c r="AG15" s="473"/>
      <c r="AH15" s="473"/>
      <c r="AI15" s="473"/>
      <c r="AJ15" s="690"/>
      <c r="AK15" s="709"/>
      <c r="AL15" s="474"/>
      <c r="AM15" s="707"/>
      <c r="AN15" s="708"/>
      <c r="AO15" s="708"/>
      <c r="AP15" s="473"/>
      <c r="AQ15" s="709"/>
    </row>
    <row r="16" spans="1:43" ht="24" x14ac:dyDescent="0.25">
      <c r="A16" s="703"/>
      <c r="B16" s="703" t="s">
        <v>398</v>
      </c>
      <c r="C16" s="694"/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6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6"/>
      <c r="Z16" s="704"/>
      <c r="AA16" s="705"/>
      <c r="AB16" s="705"/>
      <c r="AC16" s="706"/>
      <c r="AD16" s="707"/>
      <c r="AE16" s="708"/>
      <c r="AF16" s="708"/>
      <c r="AG16" s="473"/>
      <c r="AH16" s="473"/>
      <c r="AI16" s="473"/>
      <c r="AJ16" s="690"/>
      <c r="AK16" s="709"/>
      <c r="AL16" s="474"/>
      <c r="AM16" s="707"/>
      <c r="AN16" s="708"/>
      <c r="AO16" s="708"/>
      <c r="AP16" s="473"/>
      <c r="AQ16" s="709"/>
    </row>
    <row r="17" spans="1:43" ht="24" x14ac:dyDescent="0.25">
      <c r="A17" s="703"/>
      <c r="B17" s="703" t="s">
        <v>485</v>
      </c>
      <c r="C17" s="694"/>
      <c r="D17" s="695"/>
      <c r="E17" s="695"/>
      <c r="F17" s="695"/>
      <c r="G17" s="695"/>
      <c r="H17" s="695"/>
      <c r="I17" s="695"/>
      <c r="J17" s="695"/>
      <c r="K17" s="695"/>
      <c r="L17" s="695"/>
      <c r="M17" s="695"/>
      <c r="N17" s="696"/>
      <c r="O17" s="695"/>
      <c r="P17" s="695"/>
      <c r="Q17" s="695"/>
      <c r="R17" s="695"/>
      <c r="S17" s="695"/>
      <c r="T17" s="695"/>
      <c r="U17" s="695"/>
      <c r="V17" s="695"/>
      <c r="W17" s="695"/>
      <c r="X17" s="695"/>
      <c r="Y17" s="696"/>
      <c r="Z17" s="704"/>
      <c r="AA17" s="705"/>
      <c r="AB17" s="705"/>
      <c r="AC17" s="706"/>
      <c r="AD17" s="707"/>
      <c r="AE17" s="708"/>
      <c r="AF17" s="708"/>
      <c r="AG17" s="473"/>
      <c r="AH17" s="473"/>
      <c r="AI17" s="473"/>
      <c r="AJ17" s="690"/>
      <c r="AK17" s="709"/>
      <c r="AL17" s="474"/>
      <c r="AM17" s="707"/>
      <c r="AN17" s="708"/>
      <c r="AO17" s="708"/>
      <c r="AP17" s="473"/>
      <c r="AQ17" s="709"/>
    </row>
    <row r="18" spans="1:43" x14ac:dyDescent="0.25">
      <c r="A18" s="692" t="s">
        <v>151</v>
      </c>
      <c r="B18" s="693"/>
      <c r="C18" s="712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4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4"/>
      <c r="Z18" s="715"/>
      <c r="AA18" s="716"/>
      <c r="AB18" s="716"/>
      <c r="AC18" s="717"/>
      <c r="AD18" s="700"/>
      <c r="AE18" s="701"/>
      <c r="AF18" s="701"/>
      <c r="AG18" s="473">
        <v>0</v>
      </c>
      <c r="AH18" s="473">
        <v>0</v>
      </c>
      <c r="AI18" s="473">
        <v>0</v>
      </c>
      <c r="AJ18" s="690"/>
      <c r="AK18" s="718"/>
      <c r="AL18" s="700"/>
      <c r="AM18" s="700"/>
      <c r="AN18" s="701"/>
      <c r="AO18" s="701"/>
      <c r="AP18" s="473">
        <v>0</v>
      </c>
      <c r="AQ18" s="718"/>
    </row>
    <row r="19" spans="1:43" x14ac:dyDescent="0.25">
      <c r="A19" s="692"/>
      <c r="B19" s="693"/>
      <c r="C19" s="712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4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4"/>
      <c r="Z19" s="715"/>
      <c r="AA19" s="716"/>
      <c r="AB19" s="716"/>
      <c r="AC19" s="717"/>
      <c r="AD19" s="700"/>
      <c r="AE19" s="701"/>
      <c r="AF19" s="701"/>
      <c r="AG19" s="473"/>
      <c r="AH19" s="473"/>
      <c r="AI19" s="473"/>
      <c r="AJ19" s="690"/>
      <c r="AK19" s="718"/>
      <c r="AL19" s="700"/>
      <c r="AM19" s="700"/>
      <c r="AN19" s="701"/>
      <c r="AO19" s="701"/>
      <c r="AP19" s="473"/>
      <c r="AQ19" s="718"/>
    </row>
    <row r="20" spans="1:43" ht="24.6" thickBot="1" x14ac:dyDescent="0.3">
      <c r="A20" s="711" t="s">
        <v>405</v>
      </c>
      <c r="B20" s="711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3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3"/>
      <c r="Z20" s="509"/>
      <c r="AA20" s="510"/>
      <c r="AB20" s="510"/>
      <c r="AC20" s="511"/>
      <c r="AD20" s="475"/>
      <c r="AE20" s="245"/>
      <c r="AF20" s="245"/>
      <c r="AG20" s="508">
        <f t="shared" si="0"/>
        <v>0</v>
      </c>
      <c r="AH20" s="508">
        <f t="shared" si="1"/>
        <v>0</v>
      </c>
      <c r="AI20" s="508">
        <f t="shared" si="2"/>
        <v>0</v>
      </c>
      <c r="AJ20" s="691"/>
      <c r="AK20" s="476"/>
      <c r="AL20" s="475"/>
      <c r="AM20" s="475"/>
      <c r="AN20" s="245"/>
      <c r="AO20" s="245"/>
      <c r="AP20" s="473">
        <f t="shared" si="3"/>
        <v>0</v>
      </c>
      <c r="AQ20" s="476"/>
    </row>
    <row r="21" spans="1:43" ht="12.6" thickBot="1" x14ac:dyDescent="0.3">
      <c r="A21" s="227" t="s">
        <v>152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506"/>
      <c r="AA21" s="506"/>
      <c r="AB21" s="506"/>
      <c r="AC21" s="506">
        <f t="shared" ref="AC21:AI21" si="4">SUM(AC6:AC20)</f>
        <v>0</v>
      </c>
      <c r="AD21" s="241">
        <f t="shared" si="4"/>
        <v>0</v>
      </c>
      <c r="AE21" s="241">
        <f t="shared" si="4"/>
        <v>0</v>
      </c>
      <c r="AF21" s="241">
        <f t="shared" si="4"/>
        <v>0</v>
      </c>
      <c r="AG21" s="243">
        <f t="shared" si="4"/>
        <v>0</v>
      </c>
      <c r="AH21" s="243">
        <f t="shared" si="4"/>
        <v>0</v>
      </c>
      <c r="AI21" s="243">
        <f t="shared" si="4"/>
        <v>0</v>
      </c>
      <c r="AJ21" s="259">
        <v>0</v>
      </c>
      <c r="AK21" s="258"/>
      <c r="AL21" s="241"/>
      <c r="AM21" s="241">
        <f>SUM(AM6:AM20)</f>
        <v>0</v>
      </c>
      <c r="AN21" s="241">
        <f>SUM(AN6:AN20)</f>
        <v>0</v>
      </c>
      <c r="AO21" s="241">
        <f>SUM(AO6:AO20)</f>
        <v>0</v>
      </c>
      <c r="AP21" s="243">
        <f>SUM(AP6:AP20)</f>
        <v>0</v>
      </c>
      <c r="AQ21" s="243"/>
    </row>
    <row r="22" spans="1:43" x14ac:dyDescent="0.25">
      <c r="AH22" s="128"/>
      <c r="AI22" s="128"/>
      <c r="AJ22" s="128"/>
    </row>
    <row r="24" spans="1:43" ht="15.6" x14ac:dyDescent="0.3">
      <c r="AG24" s="129"/>
    </row>
  </sheetData>
  <mergeCells count="7">
    <mergeCell ref="A1:B1"/>
    <mergeCell ref="C1:AQ1"/>
    <mergeCell ref="AL2:AQ2"/>
    <mergeCell ref="AQ4:AQ5"/>
    <mergeCell ref="Z2:AK2"/>
    <mergeCell ref="Z3:AC3"/>
    <mergeCell ref="AD3:AK3"/>
  </mergeCells>
  <conditionalFormatting sqref="C6:AC20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6"/>
  <sheetViews>
    <sheetView showGridLines="0" zoomScale="90" zoomScaleNormal="90" zoomScaleSheetLayoutView="70" workbookViewId="0">
      <pane ySplit="1" topLeftCell="A5" activePane="bottomLeft" state="frozen"/>
      <selection pane="bottomLeft" activeCell="D16" sqref="D16"/>
    </sheetView>
  </sheetViews>
  <sheetFormatPr defaultColWidth="8.88671875" defaultRowHeight="14.4" x14ac:dyDescent="0.3"/>
  <cols>
    <col min="1" max="1" width="32.33203125" style="4" customWidth="1"/>
    <col min="2" max="2" width="66.6640625" style="4" customWidth="1"/>
    <col min="3" max="3" width="14.33203125" style="6" customWidth="1"/>
    <col min="4" max="4" width="23.44140625" style="4" customWidth="1"/>
    <col min="5" max="16384" width="8.88671875" style="4"/>
  </cols>
  <sheetData>
    <row r="1" spans="1:4" ht="15.6" thickTop="1" thickBot="1" x14ac:dyDescent="0.35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5">
      <c r="A2" s="425" t="s">
        <v>3</v>
      </c>
      <c r="B2" s="426" t="s">
        <v>4</v>
      </c>
      <c r="C2" s="427" t="s">
        <v>11</v>
      </c>
      <c r="D2" s="181">
        <v>10</v>
      </c>
    </row>
    <row r="3" spans="1:4" ht="41.4" customHeight="1" x14ac:dyDescent="0.3">
      <c r="A3" s="1133" t="s">
        <v>5</v>
      </c>
      <c r="B3" s="1144" t="s">
        <v>14</v>
      </c>
      <c r="C3" s="1146" t="s">
        <v>12</v>
      </c>
      <c r="D3" s="1135">
        <v>0.04</v>
      </c>
    </row>
    <row r="4" spans="1:4" ht="63" customHeight="1" thickBot="1" x14ac:dyDescent="0.35">
      <c r="A4" s="1134"/>
      <c r="B4" s="1145"/>
      <c r="C4" s="1147"/>
      <c r="D4" s="1136"/>
    </row>
    <row r="5" spans="1:4" ht="27.6" x14ac:dyDescent="0.3">
      <c r="A5" s="1133" t="s">
        <v>6</v>
      </c>
      <c r="B5" s="428" t="s">
        <v>7</v>
      </c>
      <c r="C5" s="1146" t="s">
        <v>12</v>
      </c>
      <c r="D5" s="1137">
        <v>0.05</v>
      </c>
    </row>
    <row r="6" spans="1:4" ht="42" thickBot="1" x14ac:dyDescent="0.35">
      <c r="A6" s="1134"/>
      <c r="B6" s="426" t="s">
        <v>8</v>
      </c>
      <c r="C6" s="1147"/>
      <c r="D6" s="1138"/>
    </row>
    <row r="7" spans="1:4" ht="28.2" thickBot="1" x14ac:dyDescent="0.35">
      <c r="A7" s="429" t="s">
        <v>173</v>
      </c>
      <c r="B7" s="430" t="s">
        <v>280</v>
      </c>
      <c r="C7" s="431" t="s">
        <v>13</v>
      </c>
      <c r="D7" s="180">
        <v>1373</v>
      </c>
    </row>
    <row r="8" spans="1:4" ht="15" customHeight="1" x14ac:dyDescent="0.3">
      <c r="A8" s="1139" t="s">
        <v>9</v>
      </c>
      <c r="B8" s="1129" t="s">
        <v>285</v>
      </c>
      <c r="C8" s="1148" t="s">
        <v>15</v>
      </c>
      <c r="D8" s="1141">
        <f>$D$7*1.352/(D12/12)</f>
        <v>11.379592337164752</v>
      </c>
    </row>
    <row r="9" spans="1:4" ht="57" customHeight="1" thickBot="1" x14ac:dyDescent="0.35">
      <c r="A9" s="1140"/>
      <c r="B9" s="1143"/>
      <c r="C9" s="1149"/>
      <c r="D9" s="1142"/>
    </row>
    <row r="10" spans="1:4" x14ac:dyDescent="0.3">
      <c r="A10" s="1127" t="s">
        <v>174</v>
      </c>
      <c r="B10" s="1129" t="s">
        <v>281</v>
      </c>
      <c r="C10" s="1125" t="s">
        <v>15</v>
      </c>
      <c r="D10" s="1131">
        <v>5.55</v>
      </c>
    </row>
    <row r="11" spans="1:4" ht="20.25" customHeight="1" thickBot="1" x14ac:dyDescent="0.35">
      <c r="A11" s="1128"/>
      <c r="B11" s="1130"/>
      <c r="C11" s="1126"/>
      <c r="D11" s="1132"/>
    </row>
    <row r="12" spans="1:4" ht="72" customHeight="1" thickBot="1" x14ac:dyDescent="0.35">
      <c r="A12" s="432" t="s">
        <v>282</v>
      </c>
      <c r="B12" s="430" t="s">
        <v>287</v>
      </c>
      <c r="C12" s="433" t="s">
        <v>283</v>
      </c>
      <c r="D12" s="435">
        <v>1957.5</v>
      </c>
    </row>
    <row r="13" spans="1:4" ht="72" customHeight="1" thickBot="1" x14ac:dyDescent="0.35">
      <c r="A13" s="432" t="s">
        <v>284</v>
      </c>
      <c r="B13" s="430" t="s">
        <v>286</v>
      </c>
      <c r="C13" s="433" t="s">
        <v>283</v>
      </c>
      <c r="D13" s="434">
        <v>2088</v>
      </c>
    </row>
    <row r="14" spans="1:4" ht="21" customHeight="1" thickBot="1" x14ac:dyDescent="0.35">
      <c r="A14" s="432" t="s">
        <v>25</v>
      </c>
      <c r="B14" s="432" t="s">
        <v>110</v>
      </c>
      <c r="C14" s="433" t="s">
        <v>11</v>
      </c>
      <c r="D14" s="106">
        <v>2019</v>
      </c>
    </row>
    <row r="16" spans="1:4" x14ac:dyDescent="0.3">
      <c r="A16" s="4" t="s">
        <v>587</v>
      </c>
      <c r="C16" s="6" t="s">
        <v>12</v>
      </c>
      <c r="D16" s="1000">
        <v>0.2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"/>
  <sheetViews>
    <sheetView view="pageBreakPreview" zoomScale="60" zoomScaleNormal="60" workbookViewId="0">
      <selection activeCell="A6" sqref="A6"/>
    </sheetView>
  </sheetViews>
  <sheetFormatPr defaultColWidth="8.88671875" defaultRowHeight="14.4" x14ac:dyDescent="0.3"/>
  <sheetData>
    <row r="1" spans="1:15" x14ac:dyDescent="0.3">
      <c r="A1" t="s">
        <v>214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x14ac:dyDescent="0.3"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x14ac:dyDescent="0.3">
      <c r="A3" s="248" t="s">
        <v>215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x14ac:dyDescent="0.3">
      <c r="A4" t="s">
        <v>325</v>
      </c>
    </row>
    <row r="6" spans="1:15" x14ac:dyDescent="0.3">
      <c r="A6" s="249" t="s">
        <v>159</v>
      </c>
    </row>
    <row r="7" spans="1:15" x14ac:dyDescent="0.3">
      <c r="A7" t="s">
        <v>325</v>
      </c>
    </row>
  </sheetData>
  <pageMargins left="0.7" right="0.7" top="0.75" bottom="0.75" header="0.3" footer="0.3"/>
  <pageSetup paperSize="9" scale="33" orientation="portrait" r:id="rId1"/>
  <rowBreaks count="1" manualBreakCount="1">
    <brk id="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94"/>
  <sheetViews>
    <sheetView showGridLines="0" zoomScale="60" zoomScaleNormal="60" zoomScaleSheetLayoutView="90" workbookViewId="0">
      <pane xSplit="3" ySplit="2" topLeftCell="L54" activePane="bottomRight" state="frozen"/>
      <selection pane="topRight" activeCell="C1" sqref="C1"/>
      <selection pane="bottomLeft" activeCell="A3" sqref="A3"/>
      <selection pane="bottomRight" activeCell="B80" sqref="B80"/>
    </sheetView>
  </sheetViews>
  <sheetFormatPr defaultColWidth="8.88671875" defaultRowHeight="14.4" x14ac:dyDescent="0.3"/>
  <cols>
    <col min="2" max="2" width="21.44140625" customWidth="1"/>
    <col min="3" max="3" width="34.6640625" customWidth="1"/>
    <col min="4" max="4" width="14.33203125" style="247" customWidth="1"/>
    <col min="5" max="5" width="14.109375" style="247" customWidth="1"/>
    <col min="6" max="6" width="14.88671875" style="247" customWidth="1"/>
    <col min="7" max="8" width="16.6640625" style="247" customWidth="1"/>
    <col min="9" max="16" width="14.88671875" style="247" customWidth="1"/>
    <col min="17" max="17" width="17.109375" style="247" customWidth="1"/>
    <col min="18" max="22" width="14.88671875" style="247" customWidth="1"/>
    <col min="23" max="23" width="16.88671875" style="247" customWidth="1"/>
    <col min="24" max="36" width="14.88671875" style="247" customWidth="1"/>
    <col min="37" max="51" width="8.44140625" style="247" customWidth="1"/>
  </cols>
  <sheetData>
    <row r="1" spans="2:52" ht="15" thickBot="1" x14ac:dyDescent="0.35">
      <c r="C1" s="247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</row>
    <row r="2" spans="2:52" s="747" customFormat="1" ht="77.400000000000006" customHeight="1" thickBot="1" x14ac:dyDescent="0.35">
      <c r="B2" s="250" t="s">
        <v>216</v>
      </c>
      <c r="C2" s="743" t="s">
        <v>433</v>
      </c>
      <c r="D2" s="744" t="s">
        <v>502</v>
      </c>
      <c r="E2" s="744" t="s">
        <v>503</v>
      </c>
      <c r="F2" s="744" t="s">
        <v>504</v>
      </c>
      <c r="G2" s="744" t="s">
        <v>505</v>
      </c>
      <c r="H2" s="744" t="s">
        <v>506</v>
      </c>
      <c r="I2" s="744" t="s">
        <v>507</v>
      </c>
      <c r="J2" s="744" t="s">
        <v>508</v>
      </c>
      <c r="K2" s="744" t="s">
        <v>509</v>
      </c>
      <c r="L2" s="744" t="s">
        <v>510</v>
      </c>
      <c r="M2" s="744" t="s">
        <v>511</v>
      </c>
      <c r="N2" s="744" t="s">
        <v>512</v>
      </c>
      <c r="O2" s="744" t="s">
        <v>513</v>
      </c>
      <c r="P2" s="744" t="s">
        <v>514</v>
      </c>
      <c r="Q2" s="744" t="s">
        <v>515</v>
      </c>
      <c r="R2" s="744" t="s">
        <v>437</v>
      </c>
      <c r="S2" s="744" t="s">
        <v>438</v>
      </c>
      <c r="T2" s="744" t="s">
        <v>516</v>
      </c>
      <c r="U2" s="744" t="s">
        <v>454</v>
      </c>
      <c r="V2" s="744" t="s">
        <v>517</v>
      </c>
      <c r="W2" s="744" t="s">
        <v>518</v>
      </c>
      <c r="X2" s="744" t="s">
        <v>519</v>
      </c>
      <c r="Y2" s="744" t="s">
        <v>532</v>
      </c>
      <c r="Z2" s="744" t="s">
        <v>520</v>
      </c>
      <c r="AA2" s="744" t="s">
        <v>521</v>
      </c>
      <c r="AB2" s="744" t="s">
        <v>533</v>
      </c>
      <c r="AC2" s="759" t="s">
        <v>522</v>
      </c>
      <c r="AD2" s="780" t="s">
        <v>462</v>
      </c>
      <c r="AE2" s="759" t="s">
        <v>326</v>
      </c>
      <c r="AF2" s="964" t="s">
        <v>566</v>
      </c>
      <c r="AG2" s="986" t="s">
        <v>567</v>
      </c>
      <c r="AH2" s="744" t="s">
        <v>439</v>
      </c>
      <c r="AI2" s="759" t="s">
        <v>440</v>
      </c>
      <c r="AJ2" s="792" t="s">
        <v>441</v>
      </c>
      <c r="AK2" s="740"/>
      <c r="AL2" s="21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</row>
    <row r="3" spans="2:52" x14ac:dyDescent="0.3">
      <c r="B3" s="754"/>
      <c r="C3" s="755"/>
      <c r="D3" s="761" t="s">
        <v>435</v>
      </c>
      <c r="E3" s="760" t="s">
        <v>435</v>
      </c>
      <c r="F3" s="760" t="s">
        <v>435</v>
      </c>
      <c r="G3" s="764" t="s">
        <v>435</v>
      </c>
      <c r="H3" s="764" t="s">
        <v>435</v>
      </c>
      <c r="I3" s="764" t="s">
        <v>435</v>
      </c>
      <c r="J3" s="764" t="s">
        <v>435</v>
      </c>
      <c r="K3" s="764" t="s">
        <v>435</v>
      </c>
      <c r="L3" s="764" t="s">
        <v>435</v>
      </c>
      <c r="M3" s="764" t="s">
        <v>435</v>
      </c>
      <c r="N3" s="764" t="s">
        <v>435</v>
      </c>
      <c r="O3" s="764" t="s">
        <v>435</v>
      </c>
      <c r="P3" s="764" t="s">
        <v>435</v>
      </c>
      <c r="Q3" s="764" t="s">
        <v>435</v>
      </c>
      <c r="R3" s="764" t="s">
        <v>435</v>
      </c>
      <c r="S3" s="764" t="s">
        <v>435</v>
      </c>
      <c r="T3" s="764" t="s">
        <v>435</v>
      </c>
      <c r="U3" s="764" t="s">
        <v>435</v>
      </c>
      <c r="V3" s="764" t="s">
        <v>435</v>
      </c>
      <c r="W3" s="764" t="s">
        <v>435</v>
      </c>
      <c r="X3" s="764" t="s">
        <v>435</v>
      </c>
      <c r="Y3" s="764" t="s">
        <v>435</v>
      </c>
      <c r="Z3" s="764" t="s">
        <v>435</v>
      </c>
      <c r="AA3" s="764" t="s">
        <v>435</v>
      </c>
      <c r="AB3" s="760" t="s">
        <v>435</v>
      </c>
      <c r="AC3" s="760" t="s">
        <v>435</v>
      </c>
      <c r="AD3" s="810" t="s">
        <v>435</v>
      </c>
      <c r="AE3" s="811"/>
      <c r="AF3" s="965"/>
      <c r="AG3" s="987"/>
      <c r="AH3" s="791">
        <f>AH4/AG4</f>
        <v>0.33847311019180143</v>
      </c>
      <c r="AI3" s="762"/>
      <c r="AJ3" s="793"/>
      <c r="AL3" s="252"/>
      <c r="AM3" s="253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</row>
    <row r="4" spans="2:52" ht="15" thickBot="1" x14ac:dyDescent="0.35">
      <c r="B4" s="765" t="s">
        <v>161</v>
      </c>
      <c r="C4" s="788" t="s">
        <v>443</v>
      </c>
      <c r="D4" s="813">
        <f t="shared" ref="D4:AC4" si="0">D5*$AG5/$AG4+D19*$AG19/$AG4+D36*$AG36/$AG4+D53*$AG53/$AG4+D61*$AG61/$AG4+D72*$AG72/$AG4</f>
        <v>0</v>
      </c>
      <c r="E4" s="813">
        <f t="shared" si="0"/>
        <v>0.65003051437553627</v>
      </c>
      <c r="F4" s="813">
        <f t="shared" si="0"/>
        <v>0.45114412170033913</v>
      </c>
      <c r="G4" s="813">
        <f t="shared" si="0"/>
        <v>10.088475255101919</v>
      </c>
      <c r="H4" s="813">
        <f t="shared" si="0"/>
        <v>0</v>
      </c>
      <c r="I4" s="813">
        <f t="shared" si="0"/>
        <v>0</v>
      </c>
      <c r="J4" s="813">
        <f t="shared" si="0"/>
        <v>0</v>
      </c>
      <c r="K4" s="813">
        <f t="shared" si="0"/>
        <v>0</v>
      </c>
      <c r="L4" s="813">
        <f t="shared" si="0"/>
        <v>0.40710391166530413</v>
      </c>
      <c r="M4" s="813">
        <f t="shared" si="0"/>
        <v>0.52122056803417405</v>
      </c>
      <c r="N4" s="813">
        <f t="shared" si="0"/>
        <v>0</v>
      </c>
      <c r="O4" s="813">
        <f t="shared" si="0"/>
        <v>0</v>
      </c>
      <c r="P4" s="813">
        <f t="shared" si="0"/>
        <v>6.190812629285011</v>
      </c>
      <c r="Q4" s="813">
        <f t="shared" si="0"/>
        <v>0</v>
      </c>
      <c r="R4" s="813">
        <f t="shared" si="0"/>
        <v>9.7699736512236743</v>
      </c>
      <c r="S4" s="813">
        <f t="shared" si="0"/>
        <v>10.490798182462296</v>
      </c>
      <c r="T4" s="813">
        <f t="shared" si="0"/>
        <v>3.9226576898629859</v>
      </c>
      <c r="U4" s="813">
        <f t="shared" si="0"/>
        <v>2.9630904780815523</v>
      </c>
      <c r="V4" s="813">
        <f t="shared" si="0"/>
        <v>1.9031162602652967</v>
      </c>
      <c r="W4" s="813">
        <f t="shared" si="0"/>
        <v>0.47075407623395504</v>
      </c>
      <c r="X4" s="813">
        <f t="shared" si="0"/>
        <v>0</v>
      </c>
      <c r="Y4" s="813">
        <f t="shared" si="0"/>
        <v>4.2329741343535927</v>
      </c>
      <c r="Z4" s="813">
        <f t="shared" si="0"/>
        <v>6.2745439348038418E-2</v>
      </c>
      <c r="AA4" s="813">
        <f t="shared" si="0"/>
        <v>6.6672499765379617E-2</v>
      </c>
      <c r="AB4" s="813">
        <f t="shared" si="0"/>
        <v>0.36226028985374525</v>
      </c>
      <c r="AC4" s="813">
        <f t="shared" si="0"/>
        <v>7.6853305833698125</v>
      </c>
      <c r="AD4" s="814">
        <f>SUM(D4:AC4)</f>
        <v>60.239160284982603</v>
      </c>
      <c r="AE4" s="815">
        <f t="shared" ref="AE4:AJ4" si="1">AE5+AE19+AE36+AE53+AE61+AE72</f>
        <v>2350</v>
      </c>
      <c r="AF4" s="966">
        <f t="shared" si="1"/>
        <v>309</v>
      </c>
      <c r="AG4" s="988">
        <f t="shared" si="1"/>
        <v>2659</v>
      </c>
      <c r="AH4" s="977">
        <f t="shared" si="1"/>
        <v>900</v>
      </c>
      <c r="AI4" s="768">
        <f t="shared" si="1"/>
        <v>584</v>
      </c>
      <c r="AJ4" s="796">
        <f t="shared" si="1"/>
        <v>95</v>
      </c>
      <c r="AL4" s="252"/>
      <c r="AM4" s="253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</row>
    <row r="5" spans="2:52" x14ac:dyDescent="0.3">
      <c r="B5" s="816" t="s">
        <v>455</v>
      </c>
      <c r="C5" s="789" t="s">
        <v>472</v>
      </c>
      <c r="D5" s="761">
        <f>D8*$AG8/($AG5-$AG18)+D11*$AG11/($AG5-$AG18)+D14*$AG14/($AG5-$AG18)+D17*$AG17/($AG5-$AG18)</f>
        <v>0</v>
      </c>
      <c r="E5" s="761">
        <f>E8*$AG8/($AG5-$AG18)+E11*$AG11/($AG5-$AG18)+E14*$AG14/($AG5-$AG18)+E17*$AG17/($AG5-$AG18)</f>
        <v>0</v>
      </c>
      <c r="F5" s="761">
        <f>F8*$AG8/($AG5-$AG18)+F11*$AG11/($AG5-$AG18)+F14*$AG14/($AG5-$AG18)+F17*$AG17/($AG5-$AG18)</f>
        <v>0.39730639730639733</v>
      </c>
      <c r="G5" s="760">
        <f>G8*$AG8/($AG5-$AG18)+G11*$AG11/($AG5-$AG18)+G14*$AG14/($AG5-$AG18)+G17*$AG17/($AG5-$AG18)</f>
        <v>13.484848484848484</v>
      </c>
      <c r="H5" s="817"/>
      <c r="I5" s="817"/>
      <c r="J5" s="817"/>
      <c r="K5" s="817"/>
      <c r="L5" s="817"/>
      <c r="M5" s="761"/>
      <c r="N5" s="761">
        <f>N8*$AG8/($AG5-$AG18)+N11*$AG11/($AG5-$AG18)+N14*$AG14/($AG5-$AG18)+N17*$AG17/($AG5-$AG18)</f>
        <v>0</v>
      </c>
      <c r="O5" s="761"/>
      <c r="P5" s="761">
        <f t="shared" ref="P5:AC5" si="2">P8*$AG8/($AG5-$AG18)+P11*$AG11/($AG5-$AG18)+P14*$AG14/($AG5-$AG18)+P17*$AG17/($AG5-$AG18)</f>
        <v>10.94949494949495</v>
      </c>
      <c r="Q5" s="761">
        <f t="shared" si="2"/>
        <v>0</v>
      </c>
      <c r="R5" s="761">
        <f t="shared" si="2"/>
        <v>16.296296296296298</v>
      </c>
      <c r="S5" s="761">
        <f t="shared" si="2"/>
        <v>17.427609427609429</v>
      </c>
      <c r="T5" s="761">
        <f t="shared" si="2"/>
        <v>4.8114478114478114</v>
      </c>
      <c r="U5" s="761">
        <f t="shared" si="2"/>
        <v>4.65993265993266</v>
      </c>
      <c r="V5" s="761">
        <f t="shared" si="2"/>
        <v>5.5883838383838391</v>
      </c>
      <c r="W5" s="761">
        <f t="shared" si="2"/>
        <v>1.191919191919192</v>
      </c>
      <c r="X5" s="761">
        <f t="shared" si="2"/>
        <v>0</v>
      </c>
      <c r="Y5" s="761">
        <f t="shared" si="2"/>
        <v>7.1515151515151505</v>
      </c>
      <c r="Z5" s="761">
        <f t="shared" si="2"/>
        <v>0.12794612794612795</v>
      </c>
      <c r="AA5" s="761">
        <f t="shared" si="2"/>
        <v>6.3973063973063973E-2</v>
      </c>
      <c r="AB5" s="761">
        <f t="shared" si="2"/>
        <v>0.63973063973063982</v>
      </c>
      <c r="AC5" s="761">
        <f t="shared" si="2"/>
        <v>1.7912457912457913</v>
      </c>
      <c r="AD5" s="818">
        <f>SUM(D5:AC5)</f>
        <v>84.581649831649841</v>
      </c>
      <c r="AE5" s="819">
        <f t="shared" ref="AE5:AJ5" si="3">SUM(AE6:AE18)</f>
        <v>462</v>
      </c>
      <c r="AF5" s="967">
        <f t="shared" si="3"/>
        <v>136</v>
      </c>
      <c r="AG5" s="987">
        <f t="shared" si="3"/>
        <v>598</v>
      </c>
      <c r="AH5" s="978">
        <f t="shared" si="3"/>
        <v>248</v>
      </c>
      <c r="AI5" s="762">
        <f t="shared" si="3"/>
        <v>177</v>
      </c>
      <c r="AJ5" s="793">
        <f t="shared" si="3"/>
        <v>19</v>
      </c>
      <c r="AL5" s="252"/>
      <c r="AM5" s="253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</row>
    <row r="6" spans="2:52" ht="40.799999999999997" customHeight="1" x14ac:dyDescent="0.3">
      <c r="B6" s="808" t="s">
        <v>217</v>
      </c>
      <c r="C6" s="769" t="s">
        <v>554</v>
      </c>
      <c r="D6" s="820">
        <v>0</v>
      </c>
      <c r="E6" s="767">
        <v>2</v>
      </c>
      <c r="F6" s="767">
        <v>2</v>
      </c>
      <c r="G6" s="767">
        <v>12</v>
      </c>
      <c r="H6" s="767" t="s">
        <v>523</v>
      </c>
      <c r="I6" s="767" t="s">
        <v>523</v>
      </c>
      <c r="J6" s="767" t="s">
        <v>523</v>
      </c>
      <c r="K6" s="767" t="s">
        <v>523</v>
      </c>
      <c r="L6" s="767" t="s">
        <v>523</v>
      </c>
      <c r="M6" s="767" t="s">
        <v>523</v>
      </c>
      <c r="N6" s="767">
        <v>0</v>
      </c>
      <c r="O6" s="767" t="s">
        <v>524</v>
      </c>
      <c r="P6" s="767">
        <v>16</v>
      </c>
      <c r="Q6" s="767">
        <v>0</v>
      </c>
      <c r="R6" s="767">
        <v>24</v>
      </c>
      <c r="S6" s="767">
        <v>24</v>
      </c>
      <c r="T6" s="767">
        <v>16</v>
      </c>
      <c r="U6" s="767">
        <v>8</v>
      </c>
      <c r="V6" s="767">
        <v>8</v>
      </c>
      <c r="W6" s="767">
        <v>4</v>
      </c>
      <c r="X6" s="767">
        <v>4</v>
      </c>
      <c r="Y6" s="767">
        <v>24</v>
      </c>
      <c r="Z6" s="767">
        <v>4</v>
      </c>
      <c r="AA6" s="767">
        <v>2</v>
      </c>
      <c r="AB6" s="767">
        <v>20</v>
      </c>
      <c r="AC6" s="767">
        <v>56</v>
      </c>
      <c r="AD6" s="821">
        <f>SUM(D6:AC6)</f>
        <v>226</v>
      </c>
      <c r="AE6" s="822"/>
      <c r="AF6" s="968"/>
      <c r="AG6" s="988"/>
      <c r="AH6" s="977"/>
      <c r="AI6" s="768"/>
      <c r="AJ6" s="796"/>
      <c r="AL6" s="252"/>
      <c r="AM6" s="255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</row>
    <row r="7" spans="2:52" x14ac:dyDescent="0.3">
      <c r="B7" s="765"/>
      <c r="C7" s="748" t="s">
        <v>442</v>
      </c>
      <c r="D7" s="823">
        <v>0</v>
      </c>
      <c r="E7" s="824">
        <v>0</v>
      </c>
      <c r="F7" s="824">
        <v>0</v>
      </c>
      <c r="G7" s="824">
        <v>1</v>
      </c>
      <c r="H7" s="824"/>
      <c r="I7" s="824"/>
      <c r="J7" s="824"/>
      <c r="K7" s="824"/>
      <c r="L7" s="824"/>
      <c r="M7" s="824"/>
      <c r="N7" s="824">
        <v>0</v>
      </c>
      <c r="O7" s="824"/>
      <c r="P7" s="824">
        <v>1</v>
      </c>
      <c r="Q7" s="824">
        <v>0</v>
      </c>
      <c r="R7" s="824">
        <f>AH8/AG8</f>
        <v>0.36734693877551022</v>
      </c>
      <c r="S7" s="824">
        <f>1-R7</f>
        <v>0.63265306122448983</v>
      </c>
      <c r="T7" s="824">
        <f>$R7</f>
        <v>0.36734693877551022</v>
      </c>
      <c r="U7" s="824">
        <f>$S7</f>
        <v>0.63265306122448983</v>
      </c>
      <c r="V7" s="824">
        <v>1</v>
      </c>
      <c r="W7" s="824">
        <f>AI8/AG8</f>
        <v>0.25510204081632654</v>
      </c>
      <c r="X7" s="824">
        <v>0</v>
      </c>
      <c r="Y7" s="824">
        <f>W7</f>
        <v>0.25510204081632654</v>
      </c>
      <c r="Z7" s="824">
        <f>AJ8/AG8</f>
        <v>5.1020408163265307E-2</v>
      </c>
      <c r="AA7" s="824">
        <f>$Z7</f>
        <v>5.1020408163265307E-2</v>
      </c>
      <c r="AB7" s="824">
        <f>$AA7</f>
        <v>5.1020408163265307E-2</v>
      </c>
      <c r="AC7" s="824">
        <f>$AA7</f>
        <v>5.1020408163265307E-2</v>
      </c>
      <c r="AD7" s="825"/>
      <c r="AE7" s="826"/>
      <c r="AF7" s="969"/>
      <c r="AG7" s="989"/>
      <c r="AH7" s="979"/>
      <c r="AI7" s="827"/>
      <c r="AJ7" s="828"/>
      <c r="AL7" s="252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</row>
    <row r="8" spans="2:52" x14ac:dyDescent="0.3">
      <c r="B8" s="251"/>
      <c r="C8" s="748" t="s">
        <v>534</v>
      </c>
      <c r="D8" s="829">
        <f>D6*D7</f>
        <v>0</v>
      </c>
      <c r="E8" s="830">
        <f t="shared" ref="E8:AC8" si="4">E6*E7</f>
        <v>0</v>
      </c>
      <c r="F8" s="830">
        <f t="shared" si="4"/>
        <v>0</v>
      </c>
      <c r="G8" s="830">
        <f t="shared" si="4"/>
        <v>12</v>
      </c>
      <c r="H8" s="830"/>
      <c r="I8" s="830"/>
      <c r="J8" s="830"/>
      <c r="K8" s="830"/>
      <c r="L8" s="830"/>
      <c r="M8" s="830"/>
      <c r="N8" s="830">
        <f t="shared" si="4"/>
        <v>0</v>
      </c>
      <c r="O8" s="830"/>
      <c r="P8" s="830">
        <f t="shared" si="4"/>
        <v>16</v>
      </c>
      <c r="Q8" s="830">
        <f t="shared" si="4"/>
        <v>0</v>
      </c>
      <c r="R8" s="830">
        <f t="shared" si="4"/>
        <v>8.8163265306122458</v>
      </c>
      <c r="S8" s="830">
        <f t="shared" si="4"/>
        <v>15.183673469387756</v>
      </c>
      <c r="T8" s="830">
        <f t="shared" si="4"/>
        <v>5.8775510204081636</v>
      </c>
      <c r="U8" s="830">
        <f t="shared" si="4"/>
        <v>5.0612244897959187</v>
      </c>
      <c r="V8" s="830">
        <f t="shared" si="4"/>
        <v>8</v>
      </c>
      <c r="W8" s="830">
        <f t="shared" si="4"/>
        <v>1.0204081632653061</v>
      </c>
      <c r="X8" s="830">
        <f t="shared" si="4"/>
        <v>0</v>
      </c>
      <c r="Y8" s="830">
        <f t="shared" si="4"/>
        <v>6.1224489795918373</v>
      </c>
      <c r="Z8" s="830">
        <f t="shared" si="4"/>
        <v>0.20408163265306123</v>
      </c>
      <c r="AA8" s="830">
        <f t="shared" si="4"/>
        <v>0.10204081632653061</v>
      </c>
      <c r="AB8" s="830">
        <f t="shared" si="4"/>
        <v>1.0204081632653061</v>
      </c>
      <c r="AC8" s="830">
        <f t="shared" si="4"/>
        <v>2.8571428571428572</v>
      </c>
      <c r="AD8" s="831">
        <f>SUM(D8:AC8)</f>
        <v>82.265306122448976</v>
      </c>
      <c r="AE8" s="832">
        <v>119</v>
      </c>
      <c r="AF8" s="970">
        <f>ROUND(AE8/SUM(AE$6:AE$11)*135,0)</f>
        <v>77</v>
      </c>
      <c r="AG8" s="990">
        <f>SUM(AE8:AF8)</f>
        <v>196</v>
      </c>
      <c r="AH8" s="980">
        <f>-ROUND(AG8/SUM(AG$6:AG$11)*SUM(-248,AH$12:AH$17),0)</f>
        <v>72</v>
      </c>
      <c r="AI8" s="833">
        <f>-ROUND(AH8/SUM(AH$6:AH$14)*SUM(-177,AI$15:AI$18),0)</f>
        <v>50</v>
      </c>
      <c r="AJ8" s="834">
        <f>ROUND(AI8/SUM(AI$6:AI$11,AI$17)*19,0)</f>
        <v>10</v>
      </c>
    </row>
    <row r="9" spans="2:52" ht="43.2" x14ac:dyDescent="0.3">
      <c r="B9" s="808" t="s">
        <v>218</v>
      </c>
      <c r="C9" s="769" t="s">
        <v>555</v>
      </c>
      <c r="D9" s="820">
        <v>0</v>
      </c>
      <c r="E9" s="767">
        <v>2</v>
      </c>
      <c r="F9" s="767">
        <v>2</v>
      </c>
      <c r="G9" s="767">
        <v>12</v>
      </c>
      <c r="H9" s="767" t="s">
        <v>523</v>
      </c>
      <c r="I9" s="767" t="s">
        <v>523</v>
      </c>
      <c r="J9" s="767" t="s">
        <v>523</v>
      </c>
      <c r="K9" s="767" t="s">
        <v>523</v>
      </c>
      <c r="L9" s="767" t="s">
        <v>523</v>
      </c>
      <c r="M9" s="767" t="s">
        <v>523</v>
      </c>
      <c r="N9" s="767">
        <v>0</v>
      </c>
      <c r="O9" s="767" t="s">
        <v>524</v>
      </c>
      <c r="P9" s="767">
        <v>16</v>
      </c>
      <c r="Q9" s="767">
        <v>0</v>
      </c>
      <c r="R9" s="767">
        <v>24</v>
      </c>
      <c r="S9" s="767">
        <v>24</v>
      </c>
      <c r="T9" s="767">
        <v>16</v>
      </c>
      <c r="U9" s="767">
        <v>8</v>
      </c>
      <c r="V9" s="767">
        <v>8</v>
      </c>
      <c r="W9" s="767">
        <v>4</v>
      </c>
      <c r="X9" s="767">
        <v>4</v>
      </c>
      <c r="Y9" s="767">
        <v>24</v>
      </c>
      <c r="Z9" s="767">
        <v>4</v>
      </c>
      <c r="AA9" s="767">
        <v>2</v>
      </c>
      <c r="AB9" s="767">
        <v>20</v>
      </c>
      <c r="AC9" s="767">
        <v>56</v>
      </c>
      <c r="AD9" s="821">
        <f>SUM(D9:AC9)</f>
        <v>226</v>
      </c>
      <c r="AE9" s="822"/>
      <c r="AF9" s="968"/>
      <c r="AG9" s="988"/>
      <c r="AH9" s="977"/>
      <c r="AI9" s="768"/>
      <c r="AJ9" s="796"/>
    </row>
    <row r="10" spans="2:52" x14ac:dyDescent="0.3">
      <c r="B10" s="765"/>
      <c r="C10" s="748" t="s">
        <v>442</v>
      </c>
      <c r="D10" s="823">
        <v>0</v>
      </c>
      <c r="E10" s="824">
        <v>0</v>
      </c>
      <c r="F10" s="824">
        <v>0</v>
      </c>
      <c r="G10" s="824">
        <v>1</v>
      </c>
      <c r="H10" s="824"/>
      <c r="I10" s="824"/>
      <c r="J10" s="824"/>
      <c r="K10" s="824"/>
      <c r="L10" s="824"/>
      <c r="M10" s="824"/>
      <c r="N10" s="824">
        <v>0</v>
      </c>
      <c r="O10" s="824"/>
      <c r="P10" s="824">
        <v>1</v>
      </c>
      <c r="Q10" s="824">
        <v>0</v>
      </c>
      <c r="R10" s="824">
        <f>AH11/AG11</f>
        <v>0.36486486486486486</v>
      </c>
      <c r="S10" s="824">
        <f>1-R10</f>
        <v>0.63513513513513509</v>
      </c>
      <c r="T10" s="824">
        <f>$R10</f>
        <v>0.36486486486486486</v>
      </c>
      <c r="U10" s="824">
        <f>$S10</f>
        <v>0.63513513513513509</v>
      </c>
      <c r="V10" s="824">
        <v>1</v>
      </c>
      <c r="W10" s="824">
        <f>AI11/AG11</f>
        <v>0.25675675675675674</v>
      </c>
      <c r="X10" s="824">
        <v>0</v>
      </c>
      <c r="Y10" s="824">
        <f>W10</f>
        <v>0.25675675675675674</v>
      </c>
      <c r="Z10" s="824">
        <f>AJ11/AG11</f>
        <v>4.72972972972973E-2</v>
      </c>
      <c r="AA10" s="824">
        <f>$Z10</f>
        <v>4.72972972972973E-2</v>
      </c>
      <c r="AB10" s="824">
        <f>$AA10</f>
        <v>4.72972972972973E-2</v>
      </c>
      <c r="AC10" s="824">
        <f>$AA10</f>
        <v>4.72972972972973E-2</v>
      </c>
      <c r="AD10" s="825"/>
      <c r="AE10" s="826"/>
      <c r="AF10" s="969"/>
      <c r="AG10" s="989"/>
      <c r="AH10" s="979"/>
      <c r="AI10" s="827"/>
      <c r="AJ10" s="828"/>
    </row>
    <row r="11" spans="2:52" x14ac:dyDescent="0.3">
      <c r="B11" s="251"/>
      <c r="C11" s="748" t="s">
        <v>534</v>
      </c>
      <c r="D11" s="829">
        <f>D9*D10</f>
        <v>0</v>
      </c>
      <c r="E11" s="830">
        <f t="shared" ref="E11:G11" si="5">E9*E10</f>
        <v>0</v>
      </c>
      <c r="F11" s="830">
        <f t="shared" si="5"/>
        <v>0</v>
      </c>
      <c r="G11" s="830">
        <f t="shared" si="5"/>
        <v>12</v>
      </c>
      <c r="H11" s="830"/>
      <c r="I11" s="830"/>
      <c r="J11" s="830"/>
      <c r="K11" s="830"/>
      <c r="L11" s="830"/>
      <c r="M11" s="830"/>
      <c r="N11" s="830">
        <f t="shared" ref="N11" si="6">N9*N10</f>
        <v>0</v>
      </c>
      <c r="O11" s="830"/>
      <c r="P11" s="830">
        <f t="shared" ref="P11:AC11" si="7">P9*P10</f>
        <v>16</v>
      </c>
      <c r="Q11" s="830">
        <f t="shared" si="7"/>
        <v>0</v>
      </c>
      <c r="R11" s="830">
        <f t="shared" si="7"/>
        <v>8.7567567567567561</v>
      </c>
      <c r="S11" s="830">
        <f t="shared" si="7"/>
        <v>15.243243243243242</v>
      </c>
      <c r="T11" s="830">
        <f t="shared" si="7"/>
        <v>5.8378378378378377</v>
      </c>
      <c r="U11" s="830">
        <f t="shared" si="7"/>
        <v>5.0810810810810807</v>
      </c>
      <c r="V11" s="830">
        <f t="shared" si="7"/>
        <v>8</v>
      </c>
      <c r="W11" s="830">
        <f t="shared" si="7"/>
        <v>1.027027027027027</v>
      </c>
      <c r="X11" s="830">
        <f t="shared" si="7"/>
        <v>0</v>
      </c>
      <c r="Y11" s="830">
        <f t="shared" si="7"/>
        <v>6.1621621621621614</v>
      </c>
      <c r="Z11" s="830">
        <f t="shared" si="7"/>
        <v>0.1891891891891892</v>
      </c>
      <c r="AA11" s="830">
        <f t="shared" si="7"/>
        <v>9.45945945945946E-2</v>
      </c>
      <c r="AB11" s="830">
        <f t="shared" si="7"/>
        <v>0.94594594594594605</v>
      </c>
      <c r="AC11" s="830">
        <f t="shared" si="7"/>
        <v>2.6486486486486487</v>
      </c>
      <c r="AD11" s="831">
        <f>SUM(D11:AC11)</f>
        <v>81.986486486486498</v>
      </c>
      <c r="AE11" s="832">
        <v>90</v>
      </c>
      <c r="AF11" s="970">
        <f>ROUND(AE11/SUM(AE$6:AE$11)*135,0)</f>
        <v>58</v>
      </c>
      <c r="AG11" s="990">
        <f>SUM(AE11:AF11)</f>
        <v>148</v>
      </c>
      <c r="AH11" s="980">
        <f>-ROUND(AG11/SUM(AG$6:AG$11)*SUM(-248,AH$12:AH$17),0)</f>
        <v>54</v>
      </c>
      <c r="AI11" s="833">
        <f>-ROUND(AH11/SUM(AH$6:AH$14)*SUM(-177,AI$15:AI$18),0)</f>
        <v>38</v>
      </c>
      <c r="AJ11" s="834">
        <f>ROUND(AI11/SUM(AI$6:AI$11,AI$17)*19,0)</f>
        <v>7</v>
      </c>
    </row>
    <row r="12" spans="2:52" ht="28.8" x14ac:dyDescent="0.3">
      <c r="B12" s="808" t="s">
        <v>219</v>
      </c>
      <c r="C12" s="769" t="s">
        <v>434</v>
      </c>
      <c r="D12" s="820">
        <v>0.5</v>
      </c>
      <c r="E12" s="767">
        <v>0</v>
      </c>
      <c r="F12" s="767">
        <v>0</v>
      </c>
      <c r="G12" s="767">
        <v>16</v>
      </c>
      <c r="H12" s="767" t="s">
        <v>523</v>
      </c>
      <c r="I12" s="767" t="s">
        <v>523</v>
      </c>
      <c r="J12" s="767" t="s">
        <v>523</v>
      </c>
      <c r="K12" s="767" t="s">
        <v>523</v>
      </c>
      <c r="L12" s="767" t="s">
        <v>523</v>
      </c>
      <c r="M12" s="767" t="s">
        <v>523</v>
      </c>
      <c r="N12" s="767">
        <v>0</v>
      </c>
      <c r="O12" s="767" t="s">
        <v>524</v>
      </c>
      <c r="P12" s="767">
        <v>4</v>
      </c>
      <c r="Q12" s="767">
        <v>4</v>
      </c>
      <c r="R12" s="767">
        <v>56</v>
      </c>
      <c r="S12" s="767">
        <v>40</v>
      </c>
      <c r="T12" s="767">
        <v>6</v>
      </c>
      <c r="U12" s="767">
        <v>8</v>
      </c>
      <c r="V12" s="767">
        <v>0.5</v>
      </c>
      <c r="W12" s="767">
        <v>4</v>
      </c>
      <c r="X12" s="767">
        <v>0</v>
      </c>
      <c r="Y12" s="767">
        <v>24</v>
      </c>
      <c r="Z12" s="767">
        <v>3</v>
      </c>
      <c r="AA12" s="767">
        <v>2</v>
      </c>
      <c r="AB12" s="767">
        <v>20</v>
      </c>
      <c r="AC12" s="767">
        <v>56</v>
      </c>
      <c r="AD12" s="821">
        <f>SUM(D12:AC12)</f>
        <v>244</v>
      </c>
      <c r="AE12" s="822"/>
      <c r="AF12" s="968"/>
      <c r="AG12" s="988"/>
      <c r="AH12" s="977"/>
      <c r="AI12" s="768"/>
      <c r="AJ12" s="796"/>
    </row>
    <row r="13" spans="2:52" x14ac:dyDescent="0.3">
      <c r="B13" s="765"/>
      <c r="C13" s="748" t="s">
        <v>442</v>
      </c>
      <c r="D13" s="823">
        <v>0</v>
      </c>
      <c r="E13" s="824">
        <v>0</v>
      </c>
      <c r="F13" s="824">
        <v>0</v>
      </c>
      <c r="G13" s="824">
        <v>1</v>
      </c>
      <c r="H13" s="824"/>
      <c r="I13" s="824"/>
      <c r="J13" s="824"/>
      <c r="K13" s="824"/>
      <c r="L13" s="824"/>
      <c r="M13" s="824"/>
      <c r="N13" s="824">
        <v>0</v>
      </c>
      <c r="O13" s="824"/>
      <c r="P13" s="824">
        <v>1</v>
      </c>
      <c r="Q13" s="824">
        <v>0</v>
      </c>
      <c r="R13" s="824">
        <f>AH14/AG14</f>
        <v>0.58115183246073299</v>
      </c>
      <c r="S13" s="824">
        <f>1-R13</f>
        <v>0.41884816753926701</v>
      </c>
      <c r="T13" s="824">
        <f>$R13</f>
        <v>0.58115183246073299</v>
      </c>
      <c r="U13" s="824">
        <f>$S13</f>
        <v>0.41884816753926701</v>
      </c>
      <c r="V13" s="824">
        <v>1</v>
      </c>
      <c r="W13" s="824">
        <f>AI14/AG14</f>
        <v>0.40837696335078533</v>
      </c>
      <c r="X13" s="824">
        <v>0</v>
      </c>
      <c r="Y13" s="824">
        <f>W13</f>
        <v>0.40837696335078533</v>
      </c>
      <c r="Z13" s="824">
        <f>AJ14/AG14</f>
        <v>0</v>
      </c>
      <c r="AA13" s="824">
        <f>$Z13</f>
        <v>0</v>
      </c>
      <c r="AB13" s="824">
        <f>$AA13</f>
        <v>0</v>
      </c>
      <c r="AC13" s="824">
        <f>$AA13</f>
        <v>0</v>
      </c>
      <c r="AD13" s="825"/>
      <c r="AE13" s="826"/>
      <c r="AF13" s="969"/>
      <c r="AG13" s="989"/>
      <c r="AH13" s="979"/>
      <c r="AI13" s="827"/>
      <c r="AJ13" s="828"/>
    </row>
    <row r="14" spans="2:52" x14ac:dyDescent="0.3">
      <c r="B14" s="251"/>
      <c r="C14" s="748" t="s">
        <v>534</v>
      </c>
      <c r="D14" s="829">
        <f>D12*D13</f>
        <v>0</v>
      </c>
      <c r="E14" s="830">
        <f t="shared" ref="E14:G14" si="8">E12*E13</f>
        <v>0</v>
      </c>
      <c r="F14" s="830">
        <f t="shared" si="8"/>
        <v>0</v>
      </c>
      <c r="G14" s="830">
        <f t="shared" si="8"/>
        <v>16</v>
      </c>
      <c r="H14" s="830"/>
      <c r="I14" s="830"/>
      <c r="J14" s="830"/>
      <c r="K14" s="830"/>
      <c r="L14" s="830"/>
      <c r="M14" s="830"/>
      <c r="N14" s="830">
        <f t="shared" ref="N14" si="9">N12*N13</f>
        <v>0</v>
      </c>
      <c r="O14" s="830"/>
      <c r="P14" s="830">
        <f t="shared" ref="P14:AC14" si="10">P12*P13</f>
        <v>4</v>
      </c>
      <c r="Q14" s="830">
        <f t="shared" si="10"/>
        <v>0</v>
      </c>
      <c r="R14" s="830">
        <f t="shared" si="10"/>
        <v>32.544502617801044</v>
      </c>
      <c r="S14" s="830">
        <f t="shared" si="10"/>
        <v>16.753926701570681</v>
      </c>
      <c r="T14" s="830">
        <f t="shared" si="10"/>
        <v>3.4869109947643979</v>
      </c>
      <c r="U14" s="830">
        <f t="shared" si="10"/>
        <v>3.3507853403141361</v>
      </c>
      <c r="V14" s="830">
        <f t="shared" si="10"/>
        <v>0.5</v>
      </c>
      <c r="W14" s="830">
        <f t="shared" si="10"/>
        <v>1.6335078534031413</v>
      </c>
      <c r="X14" s="830">
        <f t="shared" si="10"/>
        <v>0</v>
      </c>
      <c r="Y14" s="830">
        <f t="shared" si="10"/>
        <v>9.801047120418847</v>
      </c>
      <c r="Z14" s="830">
        <f t="shared" si="10"/>
        <v>0</v>
      </c>
      <c r="AA14" s="830">
        <f t="shared" si="10"/>
        <v>0</v>
      </c>
      <c r="AB14" s="830">
        <f t="shared" si="10"/>
        <v>0</v>
      </c>
      <c r="AC14" s="830">
        <f t="shared" si="10"/>
        <v>0</v>
      </c>
      <c r="AD14" s="831">
        <f>SUM(D14:AC14)</f>
        <v>88.070680628272243</v>
      </c>
      <c r="AE14" s="832">
        <v>191</v>
      </c>
      <c r="AF14" s="970">
        <v>0</v>
      </c>
      <c r="AG14" s="990">
        <f>SUM(AE14:AF14)</f>
        <v>191</v>
      </c>
      <c r="AH14" s="980">
        <v>111</v>
      </c>
      <c r="AI14" s="833">
        <f>-ROUND(AH14/SUM(AH$6:AH$14)*SUM(-177,AI$15:AI$18),0)</f>
        <v>78</v>
      </c>
      <c r="AJ14" s="834">
        <v>0</v>
      </c>
    </row>
    <row r="15" spans="2:52" ht="43.2" x14ac:dyDescent="0.3">
      <c r="B15" s="808" t="s">
        <v>220</v>
      </c>
      <c r="C15" s="769" t="s">
        <v>556</v>
      </c>
      <c r="D15" s="820">
        <v>0</v>
      </c>
      <c r="E15" s="767">
        <v>16</v>
      </c>
      <c r="F15" s="767">
        <v>4</v>
      </c>
      <c r="G15" s="767">
        <v>14</v>
      </c>
      <c r="H15" s="767" t="s">
        <v>523</v>
      </c>
      <c r="I15" s="767" t="s">
        <v>523</v>
      </c>
      <c r="J15" s="767" t="s">
        <v>523</v>
      </c>
      <c r="K15" s="767" t="s">
        <v>523</v>
      </c>
      <c r="L15" s="767">
        <v>4</v>
      </c>
      <c r="M15" s="767" t="s">
        <v>525</v>
      </c>
      <c r="N15" s="767">
        <v>0</v>
      </c>
      <c r="O15" s="767" t="s">
        <v>524</v>
      </c>
      <c r="P15" s="767">
        <v>4</v>
      </c>
      <c r="Q15" s="767">
        <v>0</v>
      </c>
      <c r="R15" s="767">
        <v>40</v>
      </c>
      <c r="S15" s="767">
        <v>40</v>
      </c>
      <c r="T15" s="767">
        <v>16</v>
      </c>
      <c r="U15" s="767">
        <v>8</v>
      </c>
      <c r="V15" s="767">
        <v>8</v>
      </c>
      <c r="W15" s="767">
        <v>4</v>
      </c>
      <c r="X15" s="767">
        <v>4</v>
      </c>
      <c r="Y15" s="767">
        <v>24</v>
      </c>
      <c r="Z15" s="767">
        <v>4</v>
      </c>
      <c r="AA15" s="767">
        <v>2</v>
      </c>
      <c r="AB15" s="767">
        <v>20</v>
      </c>
      <c r="AC15" s="767">
        <v>56</v>
      </c>
      <c r="AD15" s="821">
        <f>SUM(D15:AC15)</f>
        <v>268</v>
      </c>
      <c r="AE15" s="822"/>
      <c r="AF15" s="968"/>
      <c r="AG15" s="988"/>
      <c r="AH15" s="977"/>
      <c r="AI15" s="768"/>
      <c r="AJ15" s="796"/>
    </row>
    <row r="16" spans="2:52" x14ac:dyDescent="0.3">
      <c r="B16" s="765"/>
      <c r="C16" s="748" t="s">
        <v>442</v>
      </c>
      <c r="D16" s="823">
        <v>0</v>
      </c>
      <c r="E16" s="824">
        <v>0</v>
      </c>
      <c r="F16" s="824">
        <v>1</v>
      </c>
      <c r="G16" s="824">
        <v>1</v>
      </c>
      <c r="H16" s="824"/>
      <c r="I16" s="824"/>
      <c r="J16" s="824"/>
      <c r="K16" s="824"/>
      <c r="L16" s="824"/>
      <c r="M16" s="824"/>
      <c r="N16" s="824">
        <v>0</v>
      </c>
      <c r="O16" s="824"/>
      <c r="P16" s="824">
        <v>1</v>
      </c>
      <c r="Q16" s="824">
        <v>0</v>
      </c>
      <c r="R16" s="824">
        <f>AH17/AG17</f>
        <v>0.1864406779661017</v>
      </c>
      <c r="S16" s="824">
        <f>1-R16</f>
        <v>0.81355932203389836</v>
      </c>
      <c r="T16" s="824">
        <f>$R16</f>
        <v>0.1864406779661017</v>
      </c>
      <c r="U16" s="824">
        <f>$S16</f>
        <v>0.81355932203389836</v>
      </c>
      <c r="V16" s="824">
        <v>1</v>
      </c>
      <c r="W16" s="824">
        <f>AI17/AG17</f>
        <v>0.1864406779661017</v>
      </c>
      <c r="X16" s="824">
        <v>0</v>
      </c>
      <c r="Y16" s="824">
        <f>W16</f>
        <v>0.1864406779661017</v>
      </c>
      <c r="Z16" s="824">
        <f>AJ17/AG17</f>
        <v>3.3898305084745763E-2</v>
      </c>
      <c r="AA16" s="824">
        <f>$Z16</f>
        <v>3.3898305084745763E-2</v>
      </c>
      <c r="AB16" s="824">
        <f>$AA16</f>
        <v>3.3898305084745763E-2</v>
      </c>
      <c r="AC16" s="824">
        <f>$AA16</f>
        <v>3.3898305084745763E-2</v>
      </c>
      <c r="AD16" s="825"/>
      <c r="AE16" s="826"/>
      <c r="AF16" s="969"/>
      <c r="AG16" s="989"/>
      <c r="AH16" s="979"/>
      <c r="AI16" s="827"/>
      <c r="AJ16" s="828"/>
    </row>
    <row r="17" spans="2:52" x14ac:dyDescent="0.3">
      <c r="B17" s="765"/>
      <c r="C17" s="835" t="s">
        <v>534</v>
      </c>
      <c r="D17" s="836">
        <f>D15*D16</f>
        <v>0</v>
      </c>
      <c r="E17" s="837">
        <f t="shared" ref="E17:G17" si="11">E15*E16</f>
        <v>0</v>
      </c>
      <c r="F17" s="837">
        <f t="shared" si="11"/>
        <v>4</v>
      </c>
      <c r="G17" s="837">
        <f t="shared" si="11"/>
        <v>14</v>
      </c>
      <c r="H17" s="837"/>
      <c r="I17" s="837"/>
      <c r="J17" s="837"/>
      <c r="K17" s="837"/>
      <c r="L17" s="837"/>
      <c r="M17" s="837"/>
      <c r="N17" s="837">
        <f t="shared" ref="N17" si="12">N15*N16</f>
        <v>0</v>
      </c>
      <c r="O17" s="837"/>
      <c r="P17" s="837">
        <f t="shared" ref="P17:AC17" si="13">P15*P16</f>
        <v>4</v>
      </c>
      <c r="Q17" s="837">
        <f t="shared" si="13"/>
        <v>0</v>
      </c>
      <c r="R17" s="837">
        <f t="shared" si="13"/>
        <v>7.4576271186440675</v>
      </c>
      <c r="S17" s="837">
        <f t="shared" si="13"/>
        <v>32.542372881355931</v>
      </c>
      <c r="T17" s="837">
        <f t="shared" si="13"/>
        <v>2.9830508474576272</v>
      </c>
      <c r="U17" s="837">
        <f t="shared" si="13"/>
        <v>6.5084745762711869</v>
      </c>
      <c r="V17" s="837">
        <f t="shared" si="13"/>
        <v>8</v>
      </c>
      <c r="W17" s="837">
        <f t="shared" si="13"/>
        <v>0.74576271186440679</v>
      </c>
      <c r="X17" s="837">
        <f t="shared" si="13"/>
        <v>0</v>
      </c>
      <c r="Y17" s="837">
        <f t="shared" si="13"/>
        <v>4.4745762711864412</v>
      </c>
      <c r="Z17" s="837">
        <f t="shared" si="13"/>
        <v>0.13559322033898305</v>
      </c>
      <c r="AA17" s="837">
        <f t="shared" si="13"/>
        <v>6.7796610169491525E-2</v>
      </c>
      <c r="AB17" s="837">
        <f t="shared" si="13"/>
        <v>0.67796610169491522</v>
      </c>
      <c r="AC17" s="837">
        <f t="shared" si="13"/>
        <v>1.8983050847457628</v>
      </c>
      <c r="AD17" s="838">
        <f>SUM(D17:AC17)</f>
        <v>87.491525423728817</v>
      </c>
      <c r="AE17" s="826">
        <v>58</v>
      </c>
      <c r="AF17" s="969">
        <v>1</v>
      </c>
      <c r="AG17" s="989">
        <f>SUM(AE17:AF17)</f>
        <v>59</v>
      </c>
      <c r="AH17" s="979">
        <v>11</v>
      </c>
      <c r="AI17" s="827">
        <v>11</v>
      </c>
      <c r="AJ17" s="828">
        <f>ROUND(AI17/SUM(AI$6:AI$11,AI$17)*19,0)</f>
        <v>2</v>
      </c>
    </row>
    <row r="18" spans="2:52" ht="15" thickBot="1" x14ac:dyDescent="0.35">
      <c r="B18" s="839"/>
      <c r="C18" s="840" t="s">
        <v>535</v>
      </c>
      <c r="D18" s="841"/>
      <c r="E18" s="841"/>
      <c r="F18" s="841"/>
      <c r="G18" s="842"/>
      <c r="H18" s="842"/>
      <c r="I18" s="842"/>
      <c r="J18" s="842"/>
      <c r="K18" s="842"/>
      <c r="L18" s="842"/>
      <c r="M18" s="842"/>
      <c r="N18" s="842"/>
      <c r="O18" s="842"/>
      <c r="P18" s="842"/>
      <c r="Q18" s="842"/>
      <c r="R18" s="842"/>
      <c r="S18" s="842"/>
      <c r="T18" s="842"/>
      <c r="U18" s="842"/>
      <c r="V18" s="842"/>
      <c r="W18" s="842"/>
      <c r="X18" s="842"/>
      <c r="Y18" s="842"/>
      <c r="Z18" s="842"/>
      <c r="AA18" s="842"/>
      <c r="AB18" s="842"/>
      <c r="AC18" s="842"/>
      <c r="AD18" s="843"/>
      <c r="AE18" s="844">
        <f>598-136-SUM(AE6:AE17)</f>
        <v>4</v>
      </c>
      <c r="AF18" s="971">
        <v>0</v>
      </c>
      <c r="AG18" s="991">
        <f>SUM(AE18:AF18)</f>
        <v>4</v>
      </c>
      <c r="AH18" s="981">
        <v>0</v>
      </c>
      <c r="AI18" s="845">
        <v>0</v>
      </c>
      <c r="AJ18" s="846">
        <f t="shared" ref="AJ18" si="14">ROUND(AG18/AG$5*19,0)</f>
        <v>0</v>
      </c>
    </row>
    <row r="19" spans="2:52" x14ac:dyDescent="0.3">
      <c r="B19" s="756" t="s">
        <v>456</v>
      </c>
      <c r="C19" s="757" t="s">
        <v>436</v>
      </c>
      <c r="D19" s="761">
        <f>D22*$AG22/($AG19-$AG35)+D25*$AG25/($AG19-$AG35)+D28*$AG28/($AG19-$AG35)+D31*$AG31/($AG19-$AG35)+D34*$AG34/($AG19-$AG35)</f>
        <v>0</v>
      </c>
      <c r="E19" s="761">
        <f>E22*$AG22/($AG19-$AG35)+E25*$AG25/($AG19-$AG35)+E28*$AG28/($AG19-$AG35)+E31*$AG31/($AG19-$AG35)+E34*$AG34/($AG19-$AG35)</f>
        <v>0</v>
      </c>
      <c r="F19" s="761">
        <f>F22*$AG22/($AG19-$AG35)+F25*$AG25/($AG19-$AG35)+F28*$AG28/($AG19-$AG35)+F31*$AG31/($AG19-$AG35)+F34*$AG34/($AG19-$AG35)</f>
        <v>0</v>
      </c>
      <c r="G19" s="760">
        <f>G22*$AG22/($AG19-$AG35)+G25*$AG25/($AG19-$AG35)+G28*$AG28/($AG19-$AG35)+G31*$AG31/($AG19-$AG35)+G34*$AG34/($AG19-$AG35)</f>
        <v>6.5104408352668219</v>
      </c>
      <c r="H19" s="817"/>
      <c r="I19" s="817"/>
      <c r="J19" s="817"/>
      <c r="K19" s="817"/>
      <c r="L19" s="760">
        <f>L22*$AG22/($AG19-$AG35)+L25*$AG25/($AG19-$AG35)+L28*$AG28/($AG19-$AG35)+L31*$AG31/($AG19-$AG35)+L34*$AG34/($AG19-$AG35)</f>
        <v>0.24999999999999997</v>
      </c>
      <c r="M19" s="761">
        <f>M22*$AG22/($AG19-$AG35)+M25*$AG25/($AG19-$AG35)+M28*$AG28/($AG19-$AG35)+M31*$AG31/($AG19-$AG35)+M34*$AG34/($AG19-$AG35)</f>
        <v>1.0458236658932716</v>
      </c>
      <c r="N19" s="761">
        <f>N22*$AG22/($AG19-$AG35)+N25*$AG25/($AG19-$AG35)+N28*$AG28/($AG19-$AG35)+N31*$AG31/($AG19-$AG35)+N34*$AG34/($AG19-$AG35)</f>
        <v>0</v>
      </c>
      <c r="O19" s="761"/>
      <c r="P19" s="761">
        <f t="shared" ref="P19:AC19" si="15">P22*$AG22/($AG19-$AG35)+P25*$AG25/($AG19-$AG35)+P28*$AG28/($AG19-$AG35)+P31*$AG31/($AG19-$AG35)+P34*$AG34/($AG19-$AG35)</f>
        <v>0.49651972157772617</v>
      </c>
      <c r="Q19" s="761">
        <f t="shared" si="15"/>
        <v>0</v>
      </c>
      <c r="R19" s="761">
        <f t="shared" si="15"/>
        <v>3.9721577726218089</v>
      </c>
      <c r="S19" s="761">
        <f t="shared" si="15"/>
        <v>7.6658932714617176</v>
      </c>
      <c r="T19" s="761">
        <f t="shared" si="15"/>
        <v>0.6682134570765661</v>
      </c>
      <c r="U19" s="761">
        <f t="shared" si="15"/>
        <v>6.3294663573085854</v>
      </c>
      <c r="V19" s="761">
        <f t="shared" si="15"/>
        <v>0.74013921113689107</v>
      </c>
      <c r="W19" s="761">
        <f t="shared" si="15"/>
        <v>0.14849187935034802</v>
      </c>
      <c r="X19" s="761">
        <f t="shared" si="15"/>
        <v>0</v>
      </c>
      <c r="Y19" s="761">
        <f t="shared" si="15"/>
        <v>1.1879350348027842</v>
      </c>
      <c r="Z19" s="761">
        <f t="shared" si="15"/>
        <v>0.10208816705336426</v>
      </c>
      <c r="AA19" s="761">
        <f t="shared" si="15"/>
        <v>7.8886310904872387E-2</v>
      </c>
      <c r="AB19" s="761">
        <f t="shared" si="15"/>
        <v>0.14849187935034802</v>
      </c>
      <c r="AC19" s="761">
        <f t="shared" si="15"/>
        <v>1.1020881670533642</v>
      </c>
      <c r="AD19" s="847">
        <f>SUM(D19:AC19)</f>
        <v>30.446635730858471</v>
      </c>
      <c r="AE19" s="848">
        <f t="shared" ref="AE19:AJ19" si="16">SUM(AE20:AE35)</f>
        <v>537</v>
      </c>
      <c r="AF19" s="972">
        <f t="shared" si="16"/>
        <v>0</v>
      </c>
      <c r="AG19" s="992">
        <f t="shared" si="16"/>
        <v>537</v>
      </c>
      <c r="AH19" s="982">
        <f t="shared" si="16"/>
        <v>104</v>
      </c>
      <c r="AI19" s="763">
        <f t="shared" si="16"/>
        <v>93</v>
      </c>
      <c r="AJ19" s="795">
        <f t="shared" si="16"/>
        <v>19</v>
      </c>
    </row>
    <row r="20" spans="2:52" ht="28.8" x14ac:dyDescent="0.3">
      <c r="B20" s="808" t="s">
        <v>221</v>
      </c>
      <c r="C20" s="769" t="s">
        <v>557</v>
      </c>
      <c r="D20" s="820">
        <v>0</v>
      </c>
      <c r="E20" s="767">
        <v>0</v>
      </c>
      <c r="F20" s="767">
        <v>0</v>
      </c>
      <c r="G20" s="767">
        <v>12</v>
      </c>
      <c r="H20" s="767" t="s">
        <v>523</v>
      </c>
      <c r="I20" s="767" t="s">
        <v>523</v>
      </c>
      <c r="J20" s="767" t="s">
        <v>523</v>
      </c>
      <c r="K20" s="767" t="s">
        <v>523</v>
      </c>
      <c r="L20" s="767">
        <v>1</v>
      </c>
      <c r="M20" s="767">
        <v>0.5</v>
      </c>
      <c r="N20" s="767">
        <v>0</v>
      </c>
      <c r="O20" s="767" t="s">
        <v>524</v>
      </c>
      <c r="P20" s="767">
        <v>1</v>
      </c>
      <c r="Q20" s="767">
        <v>0</v>
      </c>
      <c r="R20" s="767">
        <v>26</v>
      </c>
      <c r="S20" s="767">
        <v>26</v>
      </c>
      <c r="T20" s="767">
        <v>4</v>
      </c>
      <c r="U20" s="767">
        <v>8</v>
      </c>
      <c r="V20" s="767">
        <v>0.5</v>
      </c>
      <c r="W20" s="767">
        <v>1</v>
      </c>
      <c r="X20" s="767">
        <v>0</v>
      </c>
      <c r="Y20" s="767">
        <v>8</v>
      </c>
      <c r="Z20" s="767">
        <v>4</v>
      </c>
      <c r="AA20" s="767">
        <v>2</v>
      </c>
      <c r="AB20" s="767">
        <v>0</v>
      </c>
      <c r="AC20" s="767">
        <v>35</v>
      </c>
      <c r="AD20" s="821">
        <f>SUM(D20:AC20)</f>
        <v>129</v>
      </c>
      <c r="AE20" s="822"/>
      <c r="AF20" s="968"/>
      <c r="AG20" s="988"/>
      <c r="AH20" s="977"/>
      <c r="AI20" s="768"/>
      <c r="AJ20" s="796"/>
    </row>
    <row r="21" spans="2:52" x14ac:dyDescent="0.3">
      <c r="B21" s="765"/>
      <c r="C21" s="748" t="s">
        <v>442</v>
      </c>
      <c r="D21" s="823">
        <v>0</v>
      </c>
      <c r="E21" s="824">
        <v>0</v>
      </c>
      <c r="F21" s="824">
        <v>0</v>
      </c>
      <c r="G21" s="824">
        <v>1</v>
      </c>
      <c r="H21" s="824"/>
      <c r="I21" s="824"/>
      <c r="J21" s="824"/>
      <c r="K21" s="824"/>
      <c r="L21" s="824">
        <v>0.25</v>
      </c>
      <c r="M21" s="824">
        <v>0.75</v>
      </c>
      <c r="N21" s="824">
        <v>0</v>
      </c>
      <c r="O21" s="824"/>
      <c r="P21" s="824">
        <v>1</v>
      </c>
      <c r="Q21" s="824">
        <v>0</v>
      </c>
      <c r="R21" s="824">
        <f>AH22/AG22</f>
        <v>0.34285714285714286</v>
      </c>
      <c r="S21" s="824">
        <f>1-R21</f>
        <v>0.65714285714285714</v>
      </c>
      <c r="T21" s="824">
        <f>$R21</f>
        <v>0.34285714285714286</v>
      </c>
      <c r="U21" s="824">
        <f>$S21</f>
        <v>0.65714285714285714</v>
      </c>
      <c r="V21" s="824">
        <v>1</v>
      </c>
      <c r="W21" s="824">
        <f>AI22/AG22</f>
        <v>0.31428571428571428</v>
      </c>
      <c r="X21" s="824">
        <v>0</v>
      </c>
      <c r="Y21" s="824">
        <f>W21</f>
        <v>0.31428571428571428</v>
      </c>
      <c r="Z21" s="824">
        <f>AJ22/AG22</f>
        <v>5.7142857142857141E-2</v>
      </c>
      <c r="AA21" s="824">
        <f>$Z21</f>
        <v>5.7142857142857141E-2</v>
      </c>
      <c r="AB21" s="824">
        <f>$AA21</f>
        <v>5.7142857142857141E-2</v>
      </c>
      <c r="AC21" s="824">
        <f>$AA21</f>
        <v>5.7142857142857141E-2</v>
      </c>
      <c r="AD21" s="825"/>
      <c r="AE21" s="826"/>
      <c r="AF21" s="969"/>
      <c r="AG21" s="989"/>
      <c r="AH21" s="979"/>
      <c r="AI21" s="827"/>
      <c r="AJ21" s="828"/>
      <c r="AL21" s="252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</row>
    <row r="22" spans="2:52" x14ac:dyDescent="0.3">
      <c r="B22" s="251"/>
      <c r="C22" s="748" t="s">
        <v>534</v>
      </c>
      <c r="D22" s="829">
        <f>D20*D21</f>
        <v>0</v>
      </c>
      <c r="E22" s="830">
        <f t="shared" ref="E22:G22" si="17">E20*E21</f>
        <v>0</v>
      </c>
      <c r="F22" s="830">
        <f t="shared" si="17"/>
        <v>0</v>
      </c>
      <c r="G22" s="830">
        <f t="shared" si="17"/>
        <v>12</v>
      </c>
      <c r="H22" s="830"/>
      <c r="I22" s="830"/>
      <c r="J22" s="830"/>
      <c r="K22" s="830"/>
      <c r="L22" s="830">
        <f t="shared" ref="L22:N22" si="18">L20*L21</f>
        <v>0.25</v>
      </c>
      <c r="M22" s="830">
        <f t="shared" si="18"/>
        <v>0.375</v>
      </c>
      <c r="N22" s="830">
        <f t="shared" si="18"/>
        <v>0</v>
      </c>
      <c r="O22" s="830"/>
      <c r="P22" s="830">
        <f t="shared" ref="P22:AC22" si="19">P20*P21</f>
        <v>1</v>
      </c>
      <c r="Q22" s="830">
        <f t="shared" si="19"/>
        <v>0</v>
      </c>
      <c r="R22" s="830">
        <f t="shared" si="19"/>
        <v>8.9142857142857146</v>
      </c>
      <c r="S22" s="830">
        <f t="shared" si="19"/>
        <v>17.085714285714285</v>
      </c>
      <c r="T22" s="830">
        <f t="shared" si="19"/>
        <v>1.3714285714285714</v>
      </c>
      <c r="U22" s="830">
        <f t="shared" si="19"/>
        <v>5.2571428571428571</v>
      </c>
      <c r="V22" s="830">
        <f t="shared" si="19"/>
        <v>0.5</v>
      </c>
      <c r="W22" s="830">
        <f t="shared" si="19"/>
        <v>0.31428571428571428</v>
      </c>
      <c r="X22" s="830">
        <f t="shared" si="19"/>
        <v>0</v>
      </c>
      <c r="Y22" s="830">
        <f t="shared" si="19"/>
        <v>2.5142857142857142</v>
      </c>
      <c r="Z22" s="830">
        <f t="shared" si="19"/>
        <v>0.22857142857142856</v>
      </c>
      <c r="AA22" s="830">
        <f t="shared" si="19"/>
        <v>0.11428571428571428</v>
      </c>
      <c r="AB22" s="830">
        <f t="shared" si="19"/>
        <v>0</v>
      </c>
      <c r="AC22" s="830">
        <f t="shared" si="19"/>
        <v>2</v>
      </c>
      <c r="AD22" s="831">
        <f>SUM(D22:AC22)</f>
        <v>51.925000000000004</v>
      </c>
      <c r="AE22" s="832">
        <v>35</v>
      </c>
      <c r="AF22" s="970">
        <v>0</v>
      </c>
      <c r="AG22" s="990">
        <f>SUM(AE22:AF22)</f>
        <v>35</v>
      </c>
      <c r="AH22" s="980">
        <f>-ROUND(AG22/SUM(AG$20:AG$25,AG$35)*SUM(-104,AH$26:AH$34),0)</f>
        <v>12</v>
      </c>
      <c r="AI22" s="833">
        <f>-ROUND(AH22/SUM(AH$20:AH$25,AH$35)*SUM(-93,AI$26:AI$34),0)</f>
        <v>11</v>
      </c>
      <c r="AJ22" s="834">
        <f>-ROUND(AI22/SUM(AI$20:AI$25,AI$35)*SUM(-19,AJ$26:AJ$34),0)</f>
        <v>2</v>
      </c>
      <c r="AL22" s="252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</row>
    <row r="23" spans="2:52" ht="72" x14ac:dyDescent="0.3">
      <c r="B23" s="808" t="s">
        <v>222</v>
      </c>
      <c r="C23" s="769" t="s">
        <v>558</v>
      </c>
      <c r="D23" s="820">
        <v>0</v>
      </c>
      <c r="E23" s="767">
        <v>0</v>
      </c>
      <c r="F23" s="767">
        <v>0</v>
      </c>
      <c r="G23" s="767">
        <v>6</v>
      </c>
      <c r="H23" s="767" t="s">
        <v>523</v>
      </c>
      <c r="I23" s="767" t="s">
        <v>523</v>
      </c>
      <c r="J23" s="767" t="s">
        <v>523</v>
      </c>
      <c r="K23" s="767" t="s">
        <v>523</v>
      </c>
      <c r="L23" s="767">
        <v>1</v>
      </c>
      <c r="M23" s="767">
        <v>0.5</v>
      </c>
      <c r="N23" s="767">
        <v>0</v>
      </c>
      <c r="O23" s="767" t="s">
        <v>524</v>
      </c>
      <c r="P23" s="767">
        <v>1</v>
      </c>
      <c r="Q23" s="767">
        <v>0</v>
      </c>
      <c r="R23" s="767">
        <v>26</v>
      </c>
      <c r="S23" s="767">
        <v>26</v>
      </c>
      <c r="T23" s="767">
        <v>4</v>
      </c>
      <c r="U23" s="767">
        <v>8</v>
      </c>
      <c r="V23" s="767">
        <v>0.5</v>
      </c>
      <c r="W23" s="767">
        <v>1</v>
      </c>
      <c r="X23" s="767">
        <v>0</v>
      </c>
      <c r="Y23" s="767">
        <v>8</v>
      </c>
      <c r="Z23" s="767">
        <v>4</v>
      </c>
      <c r="AA23" s="767">
        <v>2</v>
      </c>
      <c r="AB23" s="767">
        <v>0</v>
      </c>
      <c r="AC23" s="767">
        <v>35</v>
      </c>
      <c r="AD23" s="821">
        <f>SUM(D23:AC23)</f>
        <v>123</v>
      </c>
      <c r="AE23" s="822"/>
      <c r="AF23" s="968"/>
      <c r="AG23" s="988"/>
      <c r="AH23" s="977"/>
      <c r="AI23" s="768"/>
      <c r="AJ23" s="796"/>
      <c r="AL23" s="252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</row>
    <row r="24" spans="2:52" x14ac:dyDescent="0.3">
      <c r="B24" s="765"/>
      <c r="C24" s="748" t="s">
        <v>442</v>
      </c>
      <c r="D24" s="823">
        <v>0</v>
      </c>
      <c r="E24" s="824">
        <v>0</v>
      </c>
      <c r="F24" s="824">
        <v>0</v>
      </c>
      <c r="G24" s="824">
        <v>1</v>
      </c>
      <c r="H24" s="824"/>
      <c r="I24" s="824"/>
      <c r="J24" s="824"/>
      <c r="K24" s="824"/>
      <c r="L24" s="824">
        <v>0.25</v>
      </c>
      <c r="M24" s="824">
        <v>0.75</v>
      </c>
      <c r="N24" s="824">
        <v>0</v>
      </c>
      <c r="O24" s="824"/>
      <c r="P24" s="824">
        <v>1</v>
      </c>
      <c r="Q24" s="824">
        <v>0</v>
      </c>
      <c r="R24" s="824">
        <f>AH25/AG25</f>
        <v>0.34965034965034963</v>
      </c>
      <c r="S24" s="824">
        <f>1-R24</f>
        <v>0.65034965034965042</v>
      </c>
      <c r="T24" s="824">
        <f>$R24</f>
        <v>0.34965034965034963</v>
      </c>
      <c r="U24" s="824">
        <f>$S24</f>
        <v>0.65034965034965042</v>
      </c>
      <c r="V24" s="824">
        <v>1</v>
      </c>
      <c r="W24" s="824">
        <f>AI25/AG25</f>
        <v>0.31468531468531469</v>
      </c>
      <c r="X24" s="824">
        <v>0</v>
      </c>
      <c r="Y24" s="824">
        <f>W24</f>
        <v>0.31468531468531469</v>
      </c>
      <c r="Z24" s="824">
        <f>AJ25/AG25</f>
        <v>4.8951048951048952E-2</v>
      </c>
      <c r="AA24" s="824">
        <f>$Z24</f>
        <v>4.8951048951048952E-2</v>
      </c>
      <c r="AB24" s="824">
        <f>$AA24</f>
        <v>4.8951048951048952E-2</v>
      </c>
      <c r="AC24" s="824">
        <f>$AA24</f>
        <v>4.8951048951048952E-2</v>
      </c>
      <c r="AD24" s="825"/>
      <c r="AE24" s="826"/>
      <c r="AF24" s="969"/>
      <c r="AG24" s="989"/>
      <c r="AH24" s="979"/>
      <c r="AI24" s="827"/>
      <c r="AJ24" s="828"/>
    </row>
    <row r="25" spans="2:52" x14ac:dyDescent="0.3">
      <c r="B25" s="251"/>
      <c r="C25" s="748" t="s">
        <v>534</v>
      </c>
      <c r="D25" s="829">
        <f>D23*D24</f>
        <v>0</v>
      </c>
      <c r="E25" s="830">
        <f t="shared" ref="E25:G25" si="20">E23*E24</f>
        <v>0</v>
      </c>
      <c r="F25" s="830">
        <f t="shared" si="20"/>
        <v>0</v>
      </c>
      <c r="G25" s="830">
        <f t="shared" si="20"/>
        <v>6</v>
      </c>
      <c r="H25" s="830"/>
      <c r="I25" s="830"/>
      <c r="J25" s="830"/>
      <c r="K25" s="830"/>
      <c r="L25" s="830">
        <f t="shared" ref="L25:N25" si="21">L23*L24</f>
        <v>0.25</v>
      </c>
      <c r="M25" s="830">
        <f t="shared" si="21"/>
        <v>0.375</v>
      </c>
      <c r="N25" s="830">
        <f t="shared" si="21"/>
        <v>0</v>
      </c>
      <c r="O25" s="830"/>
      <c r="P25" s="830">
        <f t="shared" ref="P25:AC25" si="22">P23*P24</f>
        <v>1</v>
      </c>
      <c r="Q25" s="830">
        <f t="shared" si="22"/>
        <v>0</v>
      </c>
      <c r="R25" s="830">
        <f t="shared" si="22"/>
        <v>9.0909090909090899</v>
      </c>
      <c r="S25" s="830">
        <f t="shared" si="22"/>
        <v>16.90909090909091</v>
      </c>
      <c r="T25" s="830">
        <f t="shared" si="22"/>
        <v>1.3986013986013985</v>
      </c>
      <c r="U25" s="830">
        <f t="shared" si="22"/>
        <v>5.2027972027972034</v>
      </c>
      <c r="V25" s="830">
        <f t="shared" si="22"/>
        <v>0.5</v>
      </c>
      <c r="W25" s="830">
        <f t="shared" si="22"/>
        <v>0.31468531468531469</v>
      </c>
      <c r="X25" s="830">
        <f t="shared" si="22"/>
        <v>0</v>
      </c>
      <c r="Y25" s="830">
        <f t="shared" si="22"/>
        <v>2.5174825174825175</v>
      </c>
      <c r="Z25" s="830">
        <f t="shared" si="22"/>
        <v>0.19580419580419581</v>
      </c>
      <c r="AA25" s="830">
        <f t="shared" si="22"/>
        <v>9.7902097902097904E-2</v>
      </c>
      <c r="AB25" s="830">
        <f t="shared" si="22"/>
        <v>0</v>
      </c>
      <c r="AC25" s="830">
        <f t="shared" si="22"/>
        <v>1.7132867132867133</v>
      </c>
      <c r="AD25" s="831">
        <f>SUM(D25:AC25)</f>
        <v>45.56555944055944</v>
      </c>
      <c r="AE25" s="832">
        <v>143</v>
      </c>
      <c r="AF25" s="970">
        <v>0</v>
      </c>
      <c r="AG25" s="990">
        <f>SUM(AE25:AF25)</f>
        <v>143</v>
      </c>
      <c r="AH25" s="980">
        <f>-ROUND(AG25/SUM(AG$20:AG$25,AG$35)*SUM(-104,AH$26:AH$34),0)</f>
        <v>50</v>
      </c>
      <c r="AI25" s="833">
        <f>-ROUND(AH25/SUM(AH$20:AH$25,AH$35)*SUM(-93,AI$26:AI$34),0)</f>
        <v>45</v>
      </c>
      <c r="AJ25" s="834">
        <f>-ROUND(AI25/SUM(AI$20:AI$25,AI$35)*SUM(-19,AJ$26:AJ$34),0)-1</f>
        <v>7</v>
      </c>
    </row>
    <row r="26" spans="2:52" ht="28.8" x14ac:dyDescent="0.3">
      <c r="B26" s="808" t="s">
        <v>536</v>
      </c>
      <c r="C26" s="769" t="s">
        <v>559</v>
      </c>
      <c r="D26" s="820">
        <v>0</v>
      </c>
      <c r="E26" s="767">
        <v>0</v>
      </c>
      <c r="F26" s="767">
        <v>0</v>
      </c>
      <c r="G26" s="767">
        <v>4</v>
      </c>
      <c r="H26" s="767" t="s">
        <v>523</v>
      </c>
      <c r="I26" s="767" t="s">
        <v>523</v>
      </c>
      <c r="J26" s="767" t="s">
        <v>523</v>
      </c>
      <c r="K26" s="767" t="s">
        <v>523</v>
      </c>
      <c r="L26" s="767">
        <v>1</v>
      </c>
      <c r="M26" s="767">
        <v>0</v>
      </c>
      <c r="N26" s="767">
        <v>0</v>
      </c>
      <c r="O26" s="767" t="s">
        <v>524</v>
      </c>
      <c r="P26" s="767">
        <v>0</v>
      </c>
      <c r="Q26" s="767">
        <v>0</v>
      </c>
      <c r="R26" s="767">
        <v>20</v>
      </c>
      <c r="S26" s="767">
        <v>0</v>
      </c>
      <c r="T26" s="767">
        <v>8</v>
      </c>
      <c r="U26" s="767">
        <v>8</v>
      </c>
      <c r="V26" s="767">
        <v>1</v>
      </c>
      <c r="W26" s="767">
        <v>2</v>
      </c>
      <c r="X26" s="767">
        <v>0</v>
      </c>
      <c r="Y26" s="767">
        <v>16</v>
      </c>
      <c r="Z26" s="767">
        <v>2</v>
      </c>
      <c r="AA26" s="767">
        <v>4</v>
      </c>
      <c r="AB26" s="767">
        <v>16</v>
      </c>
      <c r="AC26" s="767">
        <v>40</v>
      </c>
      <c r="AD26" s="821">
        <f>SUM(D26:AC26)</f>
        <v>122</v>
      </c>
      <c r="AE26" s="822"/>
      <c r="AF26" s="968"/>
      <c r="AG26" s="988"/>
      <c r="AH26" s="977"/>
      <c r="AI26" s="768"/>
      <c r="AJ26" s="796"/>
    </row>
    <row r="27" spans="2:52" x14ac:dyDescent="0.3">
      <c r="B27" s="765"/>
      <c r="C27" s="748" t="s">
        <v>442</v>
      </c>
      <c r="D27" s="823">
        <v>0</v>
      </c>
      <c r="E27" s="824">
        <v>0</v>
      </c>
      <c r="F27" s="824">
        <v>0</v>
      </c>
      <c r="G27" s="824">
        <v>1</v>
      </c>
      <c r="H27" s="824"/>
      <c r="I27" s="824"/>
      <c r="J27" s="824"/>
      <c r="K27" s="824"/>
      <c r="L27" s="824">
        <v>0.25</v>
      </c>
      <c r="M27" s="824">
        <v>0.75</v>
      </c>
      <c r="N27" s="824">
        <v>0</v>
      </c>
      <c r="O27" s="824"/>
      <c r="P27" s="824">
        <v>1</v>
      </c>
      <c r="Q27" s="824">
        <v>0</v>
      </c>
      <c r="R27" s="824">
        <f>AH28/AG28</f>
        <v>2.9239766081871343E-2</v>
      </c>
      <c r="S27" s="824">
        <f>1-R27</f>
        <v>0.97076023391812871</v>
      </c>
      <c r="T27" s="824">
        <f>$R27</f>
        <v>2.9239766081871343E-2</v>
      </c>
      <c r="U27" s="824">
        <f>$S27</f>
        <v>0.97076023391812871</v>
      </c>
      <c r="V27" s="824">
        <v>1</v>
      </c>
      <c r="W27" s="824">
        <f>AI28/AG28</f>
        <v>2.3391812865497075E-2</v>
      </c>
      <c r="X27" s="824">
        <v>0</v>
      </c>
      <c r="Y27" s="824">
        <f>W27</f>
        <v>2.3391812865497075E-2</v>
      </c>
      <c r="Z27" s="824">
        <f>AJ28/AG28</f>
        <v>2.3391812865497075E-2</v>
      </c>
      <c r="AA27" s="824">
        <f>$Z27</f>
        <v>2.3391812865497075E-2</v>
      </c>
      <c r="AB27" s="824">
        <f>$AA27</f>
        <v>2.3391812865497075E-2</v>
      </c>
      <c r="AC27" s="824">
        <f>$AA27</f>
        <v>2.3391812865497075E-2</v>
      </c>
      <c r="AD27" s="825"/>
      <c r="AE27" s="826"/>
      <c r="AF27" s="969"/>
      <c r="AG27" s="989"/>
      <c r="AH27" s="979"/>
      <c r="AI27" s="827"/>
      <c r="AJ27" s="828"/>
    </row>
    <row r="28" spans="2:52" x14ac:dyDescent="0.3">
      <c r="B28" s="251"/>
      <c r="C28" s="748" t="s">
        <v>534</v>
      </c>
      <c r="D28" s="829">
        <f>D26*D27</f>
        <v>0</v>
      </c>
      <c r="E28" s="830">
        <f t="shared" ref="E28:G28" si="23">E26*E27</f>
        <v>0</v>
      </c>
      <c r="F28" s="830">
        <f t="shared" si="23"/>
        <v>0</v>
      </c>
      <c r="G28" s="830">
        <f t="shared" si="23"/>
        <v>4</v>
      </c>
      <c r="H28" s="830"/>
      <c r="I28" s="830"/>
      <c r="J28" s="830"/>
      <c r="K28" s="830"/>
      <c r="L28" s="830">
        <f t="shared" ref="L28:N28" si="24">L26*L27</f>
        <v>0.25</v>
      </c>
      <c r="M28" s="830">
        <f t="shared" si="24"/>
        <v>0</v>
      </c>
      <c r="N28" s="830">
        <f t="shared" si="24"/>
        <v>0</v>
      </c>
      <c r="O28" s="830"/>
      <c r="P28" s="830">
        <f t="shared" ref="P28:AC28" si="25">P26*P27</f>
        <v>0</v>
      </c>
      <c r="Q28" s="830">
        <f t="shared" si="25"/>
        <v>0</v>
      </c>
      <c r="R28" s="830">
        <f t="shared" si="25"/>
        <v>0.58479532163742687</v>
      </c>
      <c r="S28" s="830">
        <f t="shared" si="25"/>
        <v>0</v>
      </c>
      <c r="T28" s="830">
        <f t="shared" si="25"/>
        <v>0.23391812865497075</v>
      </c>
      <c r="U28" s="830">
        <f t="shared" si="25"/>
        <v>7.7660818713450297</v>
      </c>
      <c r="V28" s="830">
        <f t="shared" si="25"/>
        <v>1</v>
      </c>
      <c r="W28" s="830">
        <f t="shared" si="25"/>
        <v>4.6783625730994149E-2</v>
      </c>
      <c r="X28" s="830">
        <f t="shared" si="25"/>
        <v>0</v>
      </c>
      <c r="Y28" s="830">
        <f t="shared" si="25"/>
        <v>0.3742690058479532</v>
      </c>
      <c r="Z28" s="830">
        <f t="shared" si="25"/>
        <v>4.6783625730994149E-2</v>
      </c>
      <c r="AA28" s="830">
        <f t="shared" si="25"/>
        <v>9.3567251461988299E-2</v>
      </c>
      <c r="AB28" s="830">
        <f t="shared" si="25"/>
        <v>0.3742690058479532</v>
      </c>
      <c r="AC28" s="830">
        <f t="shared" si="25"/>
        <v>0.93567251461988299</v>
      </c>
      <c r="AD28" s="831">
        <f>SUM(D28:AC28)</f>
        <v>15.706140350877194</v>
      </c>
      <c r="AE28" s="832">
        <v>171</v>
      </c>
      <c r="AF28" s="970">
        <v>0</v>
      </c>
      <c r="AG28" s="990">
        <f>SUM(AE28:AF28)</f>
        <v>171</v>
      </c>
      <c r="AH28" s="980">
        <v>5</v>
      </c>
      <c r="AI28" s="833">
        <v>4</v>
      </c>
      <c r="AJ28" s="834">
        <v>4</v>
      </c>
    </row>
    <row r="29" spans="2:52" ht="57.6" x14ac:dyDescent="0.3">
      <c r="B29" s="808" t="s">
        <v>537</v>
      </c>
      <c r="C29" s="769" t="s">
        <v>560</v>
      </c>
      <c r="D29" s="820">
        <v>0</v>
      </c>
      <c r="E29" s="767">
        <v>0</v>
      </c>
      <c r="F29" s="767">
        <v>0</v>
      </c>
      <c r="G29" s="767">
        <v>3</v>
      </c>
      <c r="H29" s="767" t="s">
        <v>523</v>
      </c>
      <c r="I29" s="767" t="s">
        <v>523</v>
      </c>
      <c r="J29" s="767">
        <v>0</v>
      </c>
      <c r="K29" s="767" t="s">
        <v>523</v>
      </c>
      <c r="L29" s="767">
        <v>1</v>
      </c>
      <c r="M29" s="767">
        <v>4</v>
      </c>
      <c r="N29" s="767">
        <v>0</v>
      </c>
      <c r="O29" s="767" t="s">
        <v>524</v>
      </c>
      <c r="P29" s="767">
        <v>1</v>
      </c>
      <c r="Q29" s="767">
        <v>0</v>
      </c>
      <c r="R29" s="767">
        <v>8</v>
      </c>
      <c r="S29" s="767">
        <v>8</v>
      </c>
      <c r="T29" s="767">
        <v>8</v>
      </c>
      <c r="U29" s="767">
        <v>8</v>
      </c>
      <c r="V29" s="767">
        <v>1</v>
      </c>
      <c r="W29" s="767">
        <v>1.5</v>
      </c>
      <c r="X29" s="767">
        <v>0</v>
      </c>
      <c r="Y29" s="767">
        <v>16</v>
      </c>
      <c r="Z29" s="767">
        <v>1</v>
      </c>
      <c r="AA29" s="767">
        <v>8</v>
      </c>
      <c r="AB29" s="767">
        <v>8</v>
      </c>
      <c r="AC29" s="767">
        <v>40</v>
      </c>
      <c r="AD29" s="821">
        <f>SUM(D29:AC29)</f>
        <v>116.5</v>
      </c>
      <c r="AE29" s="822"/>
      <c r="AF29" s="968"/>
      <c r="AG29" s="988"/>
      <c r="AH29" s="977"/>
      <c r="AI29" s="768"/>
      <c r="AJ29" s="796"/>
    </row>
    <row r="30" spans="2:52" x14ac:dyDescent="0.3">
      <c r="B30" s="765"/>
      <c r="C30" s="748" t="s">
        <v>442</v>
      </c>
      <c r="D30" s="823">
        <v>0</v>
      </c>
      <c r="E30" s="824">
        <v>0</v>
      </c>
      <c r="F30" s="824">
        <v>0</v>
      </c>
      <c r="G30" s="824">
        <v>1</v>
      </c>
      <c r="H30" s="824"/>
      <c r="I30" s="824"/>
      <c r="J30" s="824"/>
      <c r="K30" s="824"/>
      <c r="L30" s="824">
        <v>0.25</v>
      </c>
      <c r="M30" s="824">
        <v>0.75</v>
      </c>
      <c r="N30" s="824">
        <v>0</v>
      </c>
      <c r="O30" s="824"/>
      <c r="P30" s="824">
        <v>1</v>
      </c>
      <c r="Q30" s="824">
        <v>0</v>
      </c>
      <c r="R30" s="824">
        <f>AH31/AG31</f>
        <v>0</v>
      </c>
      <c r="S30" s="824">
        <f>1-R30</f>
        <v>1</v>
      </c>
      <c r="T30" s="824">
        <f>$R30</f>
        <v>0</v>
      </c>
      <c r="U30" s="824">
        <f>$S30</f>
        <v>1</v>
      </c>
      <c r="V30" s="824">
        <v>1</v>
      </c>
      <c r="W30" s="824">
        <f>AI31/AG31</f>
        <v>0</v>
      </c>
      <c r="X30" s="824">
        <v>0</v>
      </c>
      <c r="Y30" s="824">
        <f>W30</f>
        <v>0</v>
      </c>
      <c r="Z30" s="824">
        <f>AJ31/AG31</f>
        <v>0</v>
      </c>
      <c r="AA30" s="824">
        <f>$Z30</f>
        <v>0</v>
      </c>
      <c r="AB30" s="824">
        <f>$AA30</f>
        <v>0</v>
      </c>
      <c r="AC30" s="824">
        <f>$AA30</f>
        <v>0</v>
      </c>
      <c r="AD30" s="825"/>
      <c r="AE30" s="826"/>
      <c r="AF30" s="969"/>
      <c r="AG30" s="989"/>
      <c r="AH30" s="979"/>
      <c r="AI30" s="827"/>
      <c r="AJ30" s="828"/>
    </row>
    <row r="31" spans="2:52" x14ac:dyDescent="0.3">
      <c r="B31" s="251"/>
      <c r="C31" s="748" t="s">
        <v>534</v>
      </c>
      <c r="D31" s="829">
        <f>D29*D30</f>
        <v>0</v>
      </c>
      <c r="E31" s="830">
        <f t="shared" ref="E31:G31" si="26">E29*E30</f>
        <v>0</v>
      </c>
      <c r="F31" s="830">
        <f t="shared" si="26"/>
        <v>0</v>
      </c>
      <c r="G31" s="830">
        <f t="shared" si="26"/>
        <v>3</v>
      </c>
      <c r="H31" s="830"/>
      <c r="I31" s="830"/>
      <c r="J31" s="830"/>
      <c r="K31" s="830"/>
      <c r="L31" s="830">
        <f t="shared" ref="L31:N31" si="27">L29*L30</f>
        <v>0.25</v>
      </c>
      <c r="M31" s="830">
        <f t="shared" si="27"/>
        <v>3</v>
      </c>
      <c r="N31" s="830">
        <f t="shared" si="27"/>
        <v>0</v>
      </c>
      <c r="O31" s="830"/>
      <c r="P31" s="830">
        <f t="shared" ref="P31:AC31" si="28">P29*P30</f>
        <v>1</v>
      </c>
      <c r="Q31" s="830">
        <f t="shared" si="28"/>
        <v>0</v>
      </c>
      <c r="R31" s="830">
        <f t="shared" si="28"/>
        <v>0</v>
      </c>
      <c r="S31" s="830">
        <f t="shared" si="28"/>
        <v>8</v>
      </c>
      <c r="T31" s="830">
        <f t="shared" si="28"/>
        <v>0</v>
      </c>
      <c r="U31" s="830">
        <f t="shared" si="28"/>
        <v>8</v>
      </c>
      <c r="V31" s="830">
        <f t="shared" si="28"/>
        <v>1</v>
      </c>
      <c r="W31" s="830">
        <f t="shared" si="28"/>
        <v>0</v>
      </c>
      <c r="X31" s="830">
        <f t="shared" si="28"/>
        <v>0</v>
      </c>
      <c r="Y31" s="830">
        <f t="shared" si="28"/>
        <v>0</v>
      </c>
      <c r="Z31" s="830">
        <f t="shared" si="28"/>
        <v>0</v>
      </c>
      <c r="AA31" s="830">
        <f t="shared" si="28"/>
        <v>0</v>
      </c>
      <c r="AB31" s="830">
        <f t="shared" si="28"/>
        <v>0</v>
      </c>
      <c r="AC31" s="830">
        <f t="shared" si="28"/>
        <v>0</v>
      </c>
      <c r="AD31" s="831">
        <f>SUM(D31:AC31)</f>
        <v>24.25</v>
      </c>
      <c r="AE31" s="832">
        <v>36</v>
      </c>
      <c r="AF31" s="970">
        <v>0</v>
      </c>
      <c r="AG31" s="990">
        <f>SUM(AE31:AF31)</f>
        <v>36</v>
      </c>
      <c r="AH31" s="980">
        <v>0</v>
      </c>
      <c r="AI31" s="833">
        <v>0</v>
      </c>
      <c r="AJ31" s="834">
        <v>0</v>
      </c>
    </row>
    <row r="32" spans="2:52" ht="72" x14ac:dyDescent="0.3">
      <c r="B32" s="808" t="s">
        <v>538</v>
      </c>
      <c r="C32" s="769" t="s">
        <v>561</v>
      </c>
      <c r="D32" s="820">
        <v>0</v>
      </c>
      <c r="E32" s="767">
        <v>0</v>
      </c>
      <c r="F32" s="767">
        <v>0</v>
      </c>
      <c r="G32" s="767">
        <v>16</v>
      </c>
      <c r="H32" s="767" t="s">
        <v>523</v>
      </c>
      <c r="I32" s="767" t="s">
        <v>523</v>
      </c>
      <c r="J32" s="767" t="s">
        <v>523</v>
      </c>
      <c r="K32" s="767" t="s">
        <v>523</v>
      </c>
      <c r="L32" s="767">
        <v>1</v>
      </c>
      <c r="M32" s="767">
        <v>8</v>
      </c>
      <c r="N32" s="767">
        <v>0</v>
      </c>
      <c r="O32" s="767" t="s">
        <v>524</v>
      </c>
      <c r="P32" s="767">
        <v>0</v>
      </c>
      <c r="Q32" s="767">
        <v>0</v>
      </c>
      <c r="R32" s="767">
        <v>16</v>
      </c>
      <c r="S32" s="767">
        <v>0</v>
      </c>
      <c r="T32" s="767">
        <v>8</v>
      </c>
      <c r="U32" s="767">
        <v>4</v>
      </c>
      <c r="V32" s="767">
        <v>0.5</v>
      </c>
      <c r="W32" s="767">
        <v>2</v>
      </c>
      <c r="X32" s="767">
        <v>0</v>
      </c>
      <c r="Y32" s="767">
        <v>16</v>
      </c>
      <c r="Z32" s="767">
        <v>2</v>
      </c>
      <c r="AA32" s="767">
        <v>4</v>
      </c>
      <c r="AB32" s="767">
        <v>16</v>
      </c>
      <c r="AC32" s="767">
        <v>40</v>
      </c>
      <c r="AD32" s="821">
        <f>SUM(D32:AC32)</f>
        <v>133.5</v>
      </c>
      <c r="AE32" s="822"/>
      <c r="AF32" s="968"/>
      <c r="AG32" s="988"/>
      <c r="AH32" s="977"/>
      <c r="AI32" s="768"/>
      <c r="AJ32" s="796"/>
    </row>
    <row r="33" spans="2:52" x14ac:dyDescent="0.3">
      <c r="B33" s="765"/>
      <c r="C33" s="748" t="s">
        <v>442</v>
      </c>
      <c r="D33" s="823">
        <v>0</v>
      </c>
      <c r="E33" s="824">
        <v>0</v>
      </c>
      <c r="F33" s="824">
        <v>0</v>
      </c>
      <c r="G33" s="824">
        <v>1</v>
      </c>
      <c r="H33" s="824"/>
      <c r="I33" s="824"/>
      <c r="J33" s="824"/>
      <c r="K33" s="824"/>
      <c r="L33" s="824">
        <v>0.25</v>
      </c>
      <c r="M33" s="824">
        <v>0.75</v>
      </c>
      <c r="N33" s="824">
        <v>0</v>
      </c>
      <c r="O33" s="824"/>
      <c r="P33" s="824">
        <v>1</v>
      </c>
      <c r="Q33" s="824">
        <v>0</v>
      </c>
      <c r="R33" s="824">
        <f>AH34/AG34</f>
        <v>0</v>
      </c>
      <c r="S33" s="824">
        <f>1-R33</f>
        <v>1</v>
      </c>
      <c r="T33" s="824">
        <f>$R33</f>
        <v>0</v>
      </c>
      <c r="U33" s="824">
        <f>$S33</f>
        <v>1</v>
      </c>
      <c r="V33" s="824">
        <v>1</v>
      </c>
      <c r="W33" s="824">
        <f>AI34/AG34</f>
        <v>0</v>
      </c>
      <c r="X33" s="824">
        <v>0</v>
      </c>
      <c r="Y33" s="824">
        <f>W33</f>
        <v>0</v>
      </c>
      <c r="Z33" s="824">
        <f>AJ34/AG34</f>
        <v>0</v>
      </c>
      <c r="AA33" s="824">
        <f>$Z33</f>
        <v>0</v>
      </c>
      <c r="AB33" s="824">
        <f>$AA33</f>
        <v>0</v>
      </c>
      <c r="AC33" s="824">
        <f>$AA33</f>
        <v>0</v>
      </c>
      <c r="AD33" s="825"/>
      <c r="AE33" s="826"/>
      <c r="AF33" s="969"/>
      <c r="AG33" s="989"/>
      <c r="AH33" s="979"/>
      <c r="AI33" s="827"/>
      <c r="AJ33" s="828"/>
    </row>
    <row r="34" spans="2:52" x14ac:dyDescent="0.3">
      <c r="B34" s="765"/>
      <c r="C34" s="835" t="s">
        <v>534</v>
      </c>
      <c r="D34" s="836">
        <f>D32*D33</f>
        <v>0</v>
      </c>
      <c r="E34" s="837">
        <f t="shared" ref="E34:G34" si="29">E32*E33</f>
        <v>0</v>
      </c>
      <c r="F34" s="837">
        <f t="shared" si="29"/>
        <v>0</v>
      </c>
      <c r="G34" s="837">
        <f t="shared" si="29"/>
        <v>16</v>
      </c>
      <c r="H34" s="837"/>
      <c r="I34" s="837"/>
      <c r="J34" s="837"/>
      <c r="K34" s="837"/>
      <c r="L34" s="837">
        <f t="shared" ref="L34:N34" si="30">L32*L33</f>
        <v>0.25</v>
      </c>
      <c r="M34" s="837">
        <f t="shared" si="30"/>
        <v>6</v>
      </c>
      <c r="N34" s="837">
        <f t="shared" si="30"/>
        <v>0</v>
      </c>
      <c r="O34" s="837"/>
      <c r="P34" s="837">
        <f t="shared" ref="P34:AC34" si="31">P32*P33</f>
        <v>0</v>
      </c>
      <c r="Q34" s="837">
        <f t="shared" si="31"/>
        <v>0</v>
      </c>
      <c r="R34" s="837">
        <f t="shared" si="31"/>
        <v>0</v>
      </c>
      <c r="S34" s="837">
        <f t="shared" si="31"/>
        <v>0</v>
      </c>
      <c r="T34" s="837">
        <f t="shared" si="31"/>
        <v>0</v>
      </c>
      <c r="U34" s="837">
        <f t="shared" si="31"/>
        <v>4</v>
      </c>
      <c r="V34" s="837">
        <f t="shared" si="31"/>
        <v>0.5</v>
      </c>
      <c r="W34" s="837">
        <f t="shared" si="31"/>
        <v>0</v>
      </c>
      <c r="X34" s="837">
        <f t="shared" si="31"/>
        <v>0</v>
      </c>
      <c r="Y34" s="837">
        <f t="shared" si="31"/>
        <v>0</v>
      </c>
      <c r="Z34" s="837">
        <f t="shared" si="31"/>
        <v>0</v>
      </c>
      <c r="AA34" s="837">
        <f t="shared" si="31"/>
        <v>0</v>
      </c>
      <c r="AB34" s="837">
        <f t="shared" si="31"/>
        <v>0</v>
      </c>
      <c r="AC34" s="837">
        <f t="shared" si="31"/>
        <v>0</v>
      </c>
      <c r="AD34" s="838">
        <f>SUM(D34:AC34)</f>
        <v>26.75</v>
      </c>
      <c r="AE34" s="826">
        <v>46</v>
      </c>
      <c r="AF34" s="969">
        <v>0</v>
      </c>
      <c r="AG34" s="989">
        <f>SUM(AE34:AF34)</f>
        <v>46</v>
      </c>
      <c r="AH34" s="979">
        <v>0</v>
      </c>
      <c r="AI34" s="827">
        <v>0</v>
      </c>
      <c r="AJ34" s="828">
        <v>0</v>
      </c>
    </row>
    <row r="35" spans="2:52" ht="15" thickBot="1" x14ac:dyDescent="0.35">
      <c r="B35" s="839"/>
      <c r="C35" s="840" t="s">
        <v>535</v>
      </c>
      <c r="D35" s="841"/>
      <c r="E35" s="841"/>
      <c r="F35" s="841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  <c r="AD35" s="843"/>
      <c r="AE35" s="844">
        <f>537-SUM(AE20:AE34)</f>
        <v>106</v>
      </c>
      <c r="AF35" s="971">
        <v>0</v>
      </c>
      <c r="AG35" s="991">
        <f>SUM(AE35:AF35)</f>
        <v>106</v>
      </c>
      <c r="AH35" s="981">
        <f>-ROUND(AG35/SUM(AG$20:AG$25,AG$35)*SUM(-104,AH$26:AH$34),0)</f>
        <v>37</v>
      </c>
      <c r="AI35" s="845">
        <f>-ROUND(AH35/SUM(AH$20:AH$25,AH$35)*SUM(-93,AI$26:AI$34),0)</f>
        <v>33</v>
      </c>
      <c r="AJ35" s="846">
        <f>-ROUND(AI35/SUM(AI$20:AI$25,AI$35)*SUM(-19,AJ$26:AJ$34),0)</f>
        <v>6</v>
      </c>
    </row>
    <row r="36" spans="2:52" x14ac:dyDescent="0.3">
      <c r="B36" s="756" t="s">
        <v>457</v>
      </c>
      <c r="C36" s="757" t="s">
        <v>444</v>
      </c>
      <c r="D36" s="761">
        <f>D39*$AG39/$AG36+D42*$AG42/$AG36+D45*$AG45/$AG36+D48*$AG48/$AG36+D51*$AG51/$AG36</f>
        <v>0</v>
      </c>
      <c r="E36" s="761">
        <f>E39*$AG39/$AG36+E42*$AG42/$AG36+E45*$AG45/$AG36+E48*$AG48/$AG36+E51*$AG51/$AG36</f>
        <v>0</v>
      </c>
      <c r="F36" s="761">
        <f>F39*$AG39/$AG36+F42*$AG42/$AG36+F45*$AG45/$AG36+F48*$AG48/$AG36+F51*$AG51/$AG36</f>
        <v>0</v>
      </c>
      <c r="G36" s="760">
        <f>G39*$AG39/$AG36+G42*$AG42/$AG36+G45*$AG45/$AG36+G48*$AG48/$AG36+G51*$AG51/$AG36</f>
        <v>7.6164874551971327</v>
      </c>
      <c r="H36" s="817"/>
      <c r="I36" s="817"/>
      <c r="J36" s="817"/>
      <c r="K36" s="817"/>
      <c r="L36" s="764">
        <f>L39*$AG39/($AG36-$AG52)+L42*$AG42/($AG36-$AG52)+L45*$AG45/($AG36-$AG52)+L48*$AG48/($AG36-$AG52)+L51*$AG51/($AG36-$AG52)</f>
        <v>0.34906759906759904</v>
      </c>
      <c r="M36" s="761">
        <f>M39*$AG39/($AG36-$AG52)+M42*$AG42/($AG36-$AG52)+M45*$AG45/($AG36-$AG52)+M48*$AG48/($AG36-$AG52)+M51*$AG51/($AG36-$AG52)</f>
        <v>1.4772727272727273</v>
      </c>
      <c r="N36" s="761">
        <f>N39*$AG39/($AG36-$AG52)+N42*$AG42/($AG36-$AG52)+N45*$AG45/($AG36-$AG52)+N48*$AG48/($AG36-$AG52)+N51*$AG51/($AG36-$AG52)</f>
        <v>0</v>
      </c>
      <c r="O36" s="761"/>
      <c r="P36" s="761">
        <f t="shared" ref="P36:AC36" si="32">P39*$AG39/($AG36-$AG52)+P42*$AG42/($AG36-$AG52)+P45*$AG45/($AG36-$AG52)+P48*$AG48/($AG36-$AG52)+P51*$AG51/($AG36-$AG52)</f>
        <v>11.981351981351981</v>
      </c>
      <c r="Q36" s="761">
        <f t="shared" si="32"/>
        <v>0</v>
      </c>
      <c r="R36" s="761">
        <f t="shared" si="32"/>
        <v>11.243030572510342</v>
      </c>
      <c r="S36" s="761">
        <f t="shared" si="32"/>
        <v>22.199805974372449</v>
      </c>
      <c r="T36" s="761">
        <f t="shared" si="32"/>
        <v>5.0950051874907363</v>
      </c>
      <c r="U36" s="761">
        <f t="shared" si="32"/>
        <v>1.2149911745287469</v>
      </c>
      <c r="V36" s="761">
        <f t="shared" si="32"/>
        <v>0.49999999999999994</v>
      </c>
      <c r="W36" s="761">
        <f t="shared" si="32"/>
        <v>0.25757575757575762</v>
      </c>
      <c r="X36" s="761">
        <f t="shared" si="32"/>
        <v>0</v>
      </c>
      <c r="Y36" s="761">
        <f t="shared" si="32"/>
        <v>3.1701631701631698</v>
      </c>
      <c r="Z36" s="761">
        <f t="shared" si="32"/>
        <v>2.3310023310023315E-2</v>
      </c>
      <c r="AA36" s="761">
        <f t="shared" si="32"/>
        <v>4.7785547785547791E-2</v>
      </c>
      <c r="AB36" s="761">
        <f t="shared" si="32"/>
        <v>0.50349650349650354</v>
      </c>
      <c r="AC36" s="761">
        <f t="shared" si="32"/>
        <v>1.0256410256410255</v>
      </c>
      <c r="AD36" s="847">
        <f>SUM(D36:AC36)</f>
        <v>66.704984699763727</v>
      </c>
      <c r="AE36" s="848">
        <f t="shared" ref="AE36:AJ36" si="33">SUM(AE37:AE52)</f>
        <v>385</v>
      </c>
      <c r="AF36" s="973">
        <f t="shared" si="33"/>
        <v>173</v>
      </c>
      <c r="AG36" s="992">
        <f t="shared" si="33"/>
        <v>558</v>
      </c>
      <c r="AH36" s="982">
        <f t="shared" si="33"/>
        <v>147</v>
      </c>
      <c r="AI36" s="763">
        <f t="shared" si="33"/>
        <v>89</v>
      </c>
      <c r="AJ36" s="795">
        <f t="shared" si="33"/>
        <v>12</v>
      </c>
    </row>
    <row r="37" spans="2:52" ht="57.6" x14ac:dyDescent="0.3">
      <c r="B37" s="808" t="s">
        <v>539</v>
      </c>
      <c r="C37" s="769" t="s">
        <v>562</v>
      </c>
      <c r="D37" s="820">
        <v>0</v>
      </c>
      <c r="E37" s="767">
        <v>0.5</v>
      </c>
      <c r="F37" s="767">
        <v>0</v>
      </c>
      <c r="G37" s="767">
        <v>3</v>
      </c>
      <c r="H37" s="767" t="s">
        <v>523</v>
      </c>
      <c r="I37" s="767" t="s">
        <v>523</v>
      </c>
      <c r="J37" s="767" t="s">
        <v>523</v>
      </c>
      <c r="K37" s="767" t="s">
        <v>523</v>
      </c>
      <c r="L37" s="767">
        <v>2</v>
      </c>
      <c r="M37" s="767">
        <v>4</v>
      </c>
      <c r="N37" s="767">
        <v>0</v>
      </c>
      <c r="O37" s="767" t="s">
        <v>524</v>
      </c>
      <c r="P37" s="767">
        <v>8</v>
      </c>
      <c r="Q37" s="767">
        <v>0</v>
      </c>
      <c r="R37" s="767">
        <v>24</v>
      </c>
      <c r="S37" s="767">
        <v>24</v>
      </c>
      <c r="T37" s="767">
        <v>16</v>
      </c>
      <c r="U37" s="767">
        <v>1</v>
      </c>
      <c r="V37" s="767">
        <v>0.5</v>
      </c>
      <c r="W37" s="767">
        <v>1.5</v>
      </c>
      <c r="X37" s="767">
        <v>0</v>
      </c>
      <c r="Y37" s="767">
        <v>16</v>
      </c>
      <c r="Z37" s="767">
        <v>1</v>
      </c>
      <c r="AA37" s="767">
        <v>2</v>
      </c>
      <c r="AB37" s="767">
        <v>24</v>
      </c>
      <c r="AC37" s="767">
        <v>40</v>
      </c>
      <c r="AD37" s="821">
        <f>SUM(D37:AC37)</f>
        <v>167.5</v>
      </c>
      <c r="AE37" s="822"/>
      <c r="AF37" s="968"/>
      <c r="AG37" s="988"/>
      <c r="AH37" s="977"/>
      <c r="AI37" s="768"/>
      <c r="AJ37" s="796"/>
      <c r="AL37" s="252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</row>
    <row r="38" spans="2:52" x14ac:dyDescent="0.3">
      <c r="B38" s="765"/>
      <c r="C38" s="748" t="s">
        <v>442</v>
      </c>
      <c r="D38" s="823">
        <v>0</v>
      </c>
      <c r="E38" s="824">
        <v>0</v>
      </c>
      <c r="F38" s="824">
        <v>0</v>
      </c>
      <c r="G38" s="824">
        <v>1</v>
      </c>
      <c r="H38" s="824"/>
      <c r="I38" s="824"/>
      <c r="J38" s="824"/>
      <c r="K38" s="824"/>
      <c r="L38" s="824">
        <v>0.25</v>
      </c>
      <c r="M38" s="824">
        <v>0.75</v>
      </c>
      <c r="N38" s="824">
        <v>0</v>
      </c>
      <c r="O38" s="824"/>
      <c r="P38" s="824">
        <v>1</v>
      </c>
      <c r="Q38" s="824">
        <v>0</v>
      </c>
      <c r="R38" s="824">
        <f>AH39/AG39</f>
        <v>0.31046276977802101</v>
      </c>
      <c r="S38" s="824">
        <f>1-R38</f>
        <v>0.68953723022197899</v>
      </c>
      <c r="T38" s="824">
        <f>$R38</f>
        <v>0.31046276977802101</v>
      </c>
      <c r="U38" s="824">
        <f>$S38</f>
        <v>0.68953723022197899</v>
      </c>
      <c r="V38" s="824">
        <v>1</v>
      </c>
      <c r="W38" s="824">
        <f>AI39/AG39</f>
        <v>0.1893491124260355</v>
      </c>
      <c r="X38" s="824">
        <v>0</v>
      </c>
      <c r="Y38" s="824">
        <f>W38</f>
        <v>0.1893491124260355</v>
      </c>
      <c r="Z38" s="824">
        <f>AJ39/AG39</f>
        <v>2.9585798816568046E-2</v>
      </c>
      <c r="AA38" s="824">
        <f>$Z38</f>
        <v>2.9585798816568046E-2</v>
      </c>
      <c r="AB38" s="824">
        <f>$AA38</f>
        <v>2.9585798816568046E-2</v>
      </c>
      <c r="AC38" s="824">
        <f>$AA38</f>
        <v>2.9585798816568046E-2</v>
      </c>
      <c r="AD38" s="825"/>
      <c r="AE38" s="826"/>
      <c r="AF38" s="969"/>
      <c r="AG38" s="989"/>
      <c r="AH38" s="979"/>
      <c r="AI38" s="827"/>
      <c r="AJ38" s="828"/>
      <c r="AL38" s="252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</row>
    <row r="39" spans="2:52" x14ac:dyDescent="0.3">
      <c r="B39" s="251"/>
      <c r="C39" s="748" t="s">
        <v>534</v>
      </c>
      <c r="D39" s="829">
        <f>D37*D38</f>
        <v>0</v>
      </c>
      <c r="E39" s="830">
        <f t="shared" ref="E39:G39" si="34">E37*E38</f>
        <v>0</v>
      </c>
      <c r="F39" s="830">
        <f t="shared" si="34"/>
        <v>0</v>
      </c>
      <c r="G39" s="830">
        <f t="shared" si="34"/>
        <v>3</v>
      </c>
      <c r="H39" s="830"/>
      <c r="I39" s="830"/>
      <c r="J39" s="830"/>
      <c r="K39" s="830"/>
      <c r="L39" s="830">
        <f t="shared" ref="L39:N39" si="35">L37*L38</f>
        <v>0.5</v>
      </c>
      <c r="M39" s="830">
        <f t="shared" si="35"/>
        <v>3</v>
      </c>
      <c r="N39" s="830">
        <f t="shared" si="35"/>
        <v>0</v>
      </c>
      <c r="O39" s="830"/>
      <c r="P39" s="830">
        <f t="shared" ref="P39:AC39" si="36">P37*P38</f>
        <v>8</v>
      </c>
      <c r="Q39" s="830">
        <f t="shared" si="36"/>
        <v>0</v>
      </c>
      <c r="R39" s="830">
        <f t="shared" si="36"/>
        <v>7.4511064746725042</v>
      </c>
      <c r="S39" s="830">
        <f t="shared" si="36"/>
        <v>16.548893525327497</v>
      </c>
      <c r="T39" s="830">
        <f t="shared" si="36"/>
        <v>4.9674043164483361</v>
      </c>
      <c r="U39" s="830">
        <f t="shared" si="36"/>
        <v>0.68953723022197899</v>
      </c>
      <c r="V39" s="830">
        <f t="shared" si="36"/>
        <v>0.5</v>
      </c>
      <c r="W39" s="830">
        <f t="shared" si="36"/>
        <v>0.28402366863905326</v>
      </c>
      <c r="X39" s="830">
        <f t="shared" si="36"/>
        <v>0</v>
      </c>
      <c r="Y39" s="830">
        <f t="shared" si="36"/>
        <v>3.029585798816568</v>
      </c>
      <c r="Z39" s="830">
        <f t="shared" si="36"/>
        <v>2.9585798816568046E-2</v>
      </c>
      <c r="AA39" s="830">
        <f t="shared" si="36"/>
        <v>5.9171597633136092E-2</v>
      </c>
      <c r="AB39" s="830">
        <f t="shared" si="36"/>
        <v>0.7100591715976331</v>
      </c>
      <c r="AC39" s="830">
        <f t="shared" si="36"/>
        <v>1.1834319526627217</v>
      </c>
      <c r="AD39" s="831">
        <f>SUM(D39:AC39)</f>
        <v>49.952799534836004</v>
      </c>
      <c r="AE39" s="832">
        <v>103</v>
      </c>
      <c r="AF39" s="970">
        <f>ROUND(169*AE39/SUM(AE$37:AE$51),0)-1</f>
        <v>66</v>
      </c>
      <c r="AG39" s="990">
        <f>SUM(AE39:AF39)</f>
        <v>169</v>
      </c>
      <c r="AH39" s="980">
        <f>25+(147-75)*AF39/AF$36</f>
        <v>52.468208092485554</v>
      </c>
      <c r="AI39" s="833">
        <f>ROUND(89*AH39/AH$36,0)</f>
        <v>32</v>
      </c>
      <c r="AJ39" s="834">
        <f>ROUND(12*AI39/AI$36,0)+1</f>
        <v>5</v>
      </c>
      <c r="AL39" s="252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</row>
    <row r="40" spans="2:52" ht="57.6" x14ac:dyDescent="0.3">
      <c r="B40" s="808" t="s">
        <v>540</v>
      </c>
      <c r="C40" s="769" t="s">
        <v>563</v>
      </c>
      <c r="D40" s="820">
        <v>0</v>
      </c>
      <c r="E40" s="767">
        <v>0.5</v>
      </c>
      <c r="F40" s="767">
        <v>0</v>
      </c>
      <c r="G40" s="767">
        <v>3</v>
      </c>
      <c r="H40" s="767" t="s">
        <v>523</v>
      </c>
      <c r="I40" s="767" t="s">
        <v>523</v>
      </c>
      <c r="J40" s="767" t="s">
        <v>523</v>
      </c>
      <c r="K40" s="767" t="s">
        <v>523</v>
      </c>
      <c r="L40" s="767">
        <v>0</v>
      </c>
      <c r="M40" s="767">
        <v>0</v>
      </c>
      <c r="N40" s="767">
        <v>0</v>
      </c>
      <c r="O40" s="767" t="s">
        <v>524</v>
      </c>
      <c r="P40" s="767">
        <v>2</v>
      </c>
      <c r="Q40" s="767">
        <v>0</v>
      </c>
      <c r="R40" s="767">
        <v>16</v>
      </c>
      <c r="S40" s="767">
        <v>16</v>
      </c>
      <c r="T40" s="767">
        <v>16</v>
      </c>
      <c r="U40" s="767">
        <v>1</v>
      </c>
      <c r="V40" s="767">
        <v>0.5</v>
      </c>
      <c r="W40" s="767">
        <v>1.5</v>
      </c>
      <c r="X40" s="767">
        <v>0</v>
      </c>
      <c r="Y40" s="767">
        <v>16</v>
      </c>
      <c r="Z40" s="767">
        <v>1</v>
      </c>
      <c r="AA40" s="767">
        <v>0.5</v>
      </c>
      <c r="AB40" s="767">
        <v>24</v>
      </c>
      <c r="AC40" s="767">
        <v>40</v>
      </c>
      <c r="AD40" s="821">
        <f>SUM(D40:AC40)</f>
        <v>138</v>
      </c>
      <c r="AE40" s="822"/>
      <c r="AF40" s="968"/>
      <c r="AG40" s="988"/>
      <c r="AH40" s="977"/>
      <c r="AI40" s="768"/>
      <c r="AJ40" s="796"/>
    </row>
    <row r="41" spans="2:52" x14ac:dyDescent="0.3">
      <c r="B41" s="765"/>
      <c r="C41" s="748" t="s">
        <v>442</v>
      </c>
      <c r="D41" s="823">
        <v>0</v>
      </c>
      <c r="E41" s="824">
        <v>0</v>
      </c>
      <c r="F41" s="824">
        <v>0</v>
      </c>
      <c r="G41" s="824">
        <v>1</v>
      </c>
      <c r="H41" s="824"/>
      <c r="I41" s="824"/>
      <c r="J41" s="824"/>
      <c r="K41" s="824"/>
      <c r="L41" s="824">
        <v>0.25</v>
      </c>
      <c r="M41" s="824">
        <v>0.75</v>
      </c>
      <c r="N41" s="824">
        <v>0</v>
      </c>
      <c r="O41" s="824"/>
      <c r="P41" s="824">
        <v>1</v>
      </c>
      <c r="Q41" s="824">
        <v>0</v>
      </c>
      <c r="R41" s="824">
        <f>AH42/AG42</f>
        <v>0.3886962106615286</v>
      </c>
      <c r="S41" s="824">
        <f>1-R41</f>
        <v>0.6113037893384714</v>
      </c>
      <c r="T41" s="824">
        <f>$R41</f>
        <v>0.3886962106615286</v>
      </c>
      <c r="U41" s="824">
        <f>$S41</f>
        <v>0.6113037893384714</v>
      </c>
      <c r="V41" s="824">
        <v>1</v>
      </c>
      <c r="W41" s="824">
        <f>AI42/AG42</f>
        <v>0.24444444444444444</v>
      </c>
      <c r="X41" s="824">
        <v>0</v>
      </c>
      <c r="Y41" s="824">
        <f>W41</f>
        <v>0.24444444444444444</v>
      </c>
      <c r="Z41" s="824">
        <f>AJ42/AG42</f>
        <v>2.2222222222222223E-2</v>
      </c>
      <c r="AA41" s="824">
        <f>$Z41</f>
        <v>2.2222222222222223E-2</v>
      </c>
      <c r="AB41" s="824">
        <f>$AA41</f>
        <v>2.2222222222222223E-2</v>
      </c>
      <c r="AC41" s="824">
        <f>$AA41</f>
        <v>2.2222222222222223E-2</v>
      </c>
      <c r="AD41" s="825"/>
      <c r="AE41" s="826"/>
      <c r="AF41" s="969"/>
      <c r="AG41" s="989"/>
      <c r="AH41" s="979"/>
      <c r="AI41" s="827"/>
      <c r="AJ41" s="828"/>
    </row>
    <row r="42" spans="2:52" x14ac:dyDescent="0.3">
      <c r="B42" s="251"/>
      <c r="C42" s="748" t="s">
        <v>534</v>
      </c>
      <c r="D42" s="829">
        <f>D40*D41</f>
        <v>0</v>
      </c>
      <c r="E42" s="830">
        <f t="shared" ref="E42:G42" si="37">E40*E41</f>
        <v>0</v>
      </c>
      <c r="F42" s="830">
        <f t="shared" si="37"/>
        <v>0</v>
      </c>
      <c r="G42" s="830">
        <f t="shared" si="37"/>
        <v>3</v>
      </c>
      <c r="H42" s="830"/>
      <c r="I42" s="830"/>
      <c r="J42" s="830"/>
      <c r="K42" s="830"/>
      <c r="L42" s="830">
        <f t="shared" ref="L42:N42" si="38">L40*L41</f>
        <v>0</v>
      </c>
      <c r="M42" s="830">
        <f t="shared" si="38"/>
        <v>0</v>
      </c>
      <c r="N42" s="830">
        <f t="shared" si="38"/>
        <v>0</v>
      </c>
      <c r="O42" s="830"/>
      <c r="P42" s="830">
        <f t="shared" ref="P42:AC42" si="39">P40*P41</f>
        <v>2</v>
      </c>
      <c r="Q42" s="830">
        <f t="shared" si="39"/>
        <v>0</v>
      </c>
      <c r="R42" s="830">
        <f t="shared" si="39"/>
        <v>6.2191393705844575</v>
      </c>
      <c r="S42" s="830">
        <f t="shared" si="39"/>
        <v>9.7808606294155425</v>
      </c>
      <c r="T42" s="830">
        <f t="shared" si="39"/>
        <v>6.2191393705844575</v>
      </c>
      <c r="U42" s="830">
        <f t="shared" si="39"/>
        <v>0.6113037893384714</v>
      </c>
      <c r="V42" s="830">
        <f t="shared" si="39"/>
        <v>0.5</v>
      </c>
      <c r="W42" s="830">
        <f t="shared" si="39"/>
        <v>0.36666666666666664</v>
      </c>
      <c r="X42" s="830">
        <f t="shared" si="39"/>
        <v>0</v>
      </c>
      <c r="Y42" s="830">
        <f t="shared" si="39"/>
        <v>3.911111111111111</v>
      </c>
      <c r="Z42" s="830">
        <f t="shared" si="39"/>
        <v>2.2222222222222223E-2</v>
      </c>
      <c r="AA42" s="830">
        <f t="shared" si="39"/>
        <v>1.1111111111111112E-2</v>
      </c>
      <c r="AB42" s="830">
        <f t="shared" si="39"/>
        <v>0.53333333333333333</v>
      </c>
      <c r="AC42" s="830">
        <f t="shared" si="39"/>
        <v>0.88888888888888895</v>
      </c>
      <c r="AD42" s="831">
        <f>SUM(D42:AC42)</f>
        <v>34.063776493256263</v>
      </c>
      <c r="AE42" s="832">
        <v>27</v>
      </c>
      <c r="AF42" s="970">
        <f>ROUND(169*AE42/SUM(AE$37:AE$51),0)</f>
        <v>18</v>
      </c>
      <c r="AG42" s="990">
        <f>SUM(AE42:AF42)</f>
        <v>45</v>
      </c>
      <c r="AH42" s="980">
        <f>10+(147-75)*AF42/AF$36</f>
        <v>17.491329479768787</v>
      </c>
      <c r="AI42" s="833">
        <f>ROUND(89*AH42/AH$36,0)</f>
        <v>11</v>
      </c>
      <c r="AJ42" s="834">
        <f>ROUND(12*AI42/AI$36,0)</f>
        <v>1</v>
      </c>
    </row>
    <row r="43" spans="2:52" ht="72" x14ac:dyDescent="0.3">
      <c r="B43" s="808" t="s">
        <v>541</v>
      </c>
      <c r="C43" s="769" t="s">
        <v>564</v>
      </c>
      <c r="D43" s="820">
        <v>0</v>
      </c>
      <c r="E43" s="767">
        <v>0.5</v>
      </c>
      <c r="F43" s="767">
        <v>0</v>
      </c>
      <c r="G43" s="767">
        <v>3</v>
      </c>
      <c r="H43" s="767" t="s">
        <v>523</v>
      </c>
      <c r="I43" s="767" t="s">
        <v>523</v>
      </c>
      <c r="J43" s="767" t="s">
        <v>523</v>
      </c>
      <c r="K43" s="767" t="s">
        <v>523</v>
      </c>
      <c r="L43" s="767">
        <v>0</v>
      </c>
      <c r="M43" s="767">
        <v>2</v>
      </c>
      <c r="N43" s="767">
        <v>0</v>
      </c>
      <c r="O43" s="767" t="s">
        <v>524</v>
      </c>
      <c r="P43" s="767">
        <v>2</v>
      </c>
      <c r="Q43" s="767">
        <v>0</v>
      </c>
      <c r="R43" s="767">
        <v>16</v>
      </c>
      <c r="S43" s="767">
        <v>13</v>
      </c>
      <c r="T43" s="767">
        <v>0</v>
      </c>
      <c r="U43" s="767">
        <v>1</v>
      </c>
      <c r="V43" s="767">
        <v>0.5</v>
      </c>
      <c r="W43" s="767">
        <v>1.5</v>
      </c>
      <c r="X43" s="767">
        <v>0</v>
      </c>
      <c r="Y43" s="767">
        <v>16</v>
      </c>
      <c r="Z43" s="767">
        <v>1</v>
      </c>
      <c r="AA43" s="767">
        <v>2</v>
      </c>
      <c r="AB43" s="767">
        <v>24</v>
      </c>
      <c r="AC43" s="767">
        <v>40</v>
      </c>
      <c r="AD43" s="821">
        <f>SUM(D43:AC43)</f>
        <v>122.5</v>
      </c>
      <c r="AE43" s="822"/>
      <c r="AF43" s="968"/>
      <c r="AG43" s="988"/>
      <c r="AH43" s="977"/>
      <c r="AI43" s="768"/>
      <c r="AJ43" s="796"/>
    </row>
    <row r="44" spans="2:52" x14ac:dyDescent="0.3">
      <c r="B44" s="765"/>
      <c r="C44" s="748" t="s">
        <v>442</v>
      </c>
      <c r="D44" s="823">
        <v>0</v>
      </c>
      <c r="E44" s="824">
        <v>0</v>
      </c>
      <c r="F44" s="824">
        <v>0</v>
      </c>
      <c r="G44" s="824">
        <v>1</v>
      </c>
      <c r="H44" s="824"/>
      <c r="I44" s="824"/>
      <c r="J44" s="824"/>
      <c r="K44" s="824"/>
      <c r="L44" s="824">
        <v>0.25</v>
      </c>
      <c r="M44" s="824">
        <v>0.75</v>
      </c>
      <c r="N44" s="824">
        <v>0</v>
      </c>
      <c r="O44" s="824"/>
      <c r="P44" s="824">
        <v>1</v>
      </c>
      <c r="Q44" s="824">
        <v>0</v>
      </c>
      <c r="R44" s="824">
        <f>AH45/AG45</f>
        <v>0.29147398843930639</v>
      </c>
      <c r="S44" s="824">
        <f>1-R44</f>
        <v>0.70852601156069361</v>
      </c>
      <c r="T44" s="824">
        <f>$R44</f>
        <v>0.29147398843930639</v>
      </c>
      <c r="U44" s="824">
        <f>$S44</f>
        <v>0.70852601156069361</v>
      </c>
      <c r="V44" s="824">
        <v>1</v>
      </c>
      <c r="W44" s="824">
        <f>AI45/AG45</f>
        <v>0.17499999999999999</v>
      </c>
      <c r="X44" s="824">
        <v>0</v>
      </c>
      <c r="Y44" s="824">
        <f>W44</f>
        <v>0.17499999999999999</v>
      </c>
      <c r="Z44" s="824">
        <f>AJ45/AG45</f>
        <v>2.5000000000000001E-2</v>
      </c>
      <c r="AA44" s="824">
        <f>$Z44</f>
        <v>2.5000000000000001E-2</v>
      </c>
      <c r="AB44" s="824">
        <f>$AA44</f>
        <v>2.5000000000000001E-2</v>
      </c>
      <c r="AC44" s="824">
        <f>$AA44</f>
        <v>2.5000000000000001E-2</v>
      </c>
      <c r="AD44" s="825"/>
      <c r="AE44" s="826"/>
      <c r="AF44" s="969"/>
      <c r="AG44" s="989"/>
      <c r="AH44" s="979"/>
      <c r="AI44" s="827"/>
      <c r="AJ44" s="828"/>
    </row>
    <row r="45" spans="2:52" x14ac:dyDescent="0.3">
      <c r="B45" s="251"/>
      <c r="C45" s="748" t="s">
        <v>534</v>
      </c>
      <c r="D45" s="829">
        <f>D43*D44</f>
        <v>0</v>
      </c>
      <c r="E45" s="830">
        <f t="shared" ref="E45:G45" si="40">E43*E44</f>
        <v>0</v>
      </c>
      <c r="F45" s="830">
        <f t="shared" si="40"/>
        <v>0</v>
      </c>
      <c r="G45" s="830">
        <f t="shared" si="40"/>
        <v>3</v>
      </c>
      <c r="H45" s="830"/>
      <c r="I45" s="830"/>
      <c r="J45" s="830"/>
      <c r="K45" s="830"/>
      <c r="L45" s="830">
        <f t="shared" ref="L45:N45" si="41">L43*L44</f>
        <v>0</v>
      </c>
      <c r="M45" s="830">
        <f t="shared" si="41"/>
        <v>1.5</v>
      </c>
      <c r="N45" s="830">
        <f t="shared" si="41"/>
        <v>0</v>
      </c>
      <c r="O45" s="830"/>
      <c r="P45" s="830">
        <f t="shared" ref="P45:AC45" si="42">P43*P44</f>
        <v>2</v>
      </c>
      <c r="Q45" s="830">
        <f t="shared" si="42"/>
        <v>0</v>
      </c>
      <c r="R45" s="830">
        <f t="shared" si="42"/>
        <v>4.6635838150289022</v>
      </c>
      <c r="S45" s="830">
        <f t="shared" si="42"/>
        <v>9.2108381502890175</v>
      </c>
      <c r="T45" s="830">
        <f t="shared" si="42"/>
        <v>0</v>
      </c>
      <c r="U45" s="830">
        <f t="shared" si="42"/>
        <v>0.70852601156069361</v>
      </c>
      <c r="V45" s="830">
        <f t="shared" si="42"/>
        <v>0.5</v>
      </c>
      <c r="W45" s="830">
        <f t="shared" si="42"/>
        <v>0.26249999999999996</v>
      </c>
      <c r="X45" s="830">
        <f t="shared" si="42"/>
        <v>0</v>
      </c>
      <c r="Y45" s="830">
        <f t="shared" si="42"/>
        <v>2.8</v>
      </c>
      <c r="Z45" s="830">
        <f t="shared" si="42"/>
        <v>2.5000000000000001E-2</v>
      </c>
      <c r="AA45" s="830">
        <f t="shared" si="42"/>
        <v>0.05</v>
      </c>
      <c r="AB45" s="830">
        <f t="shared" si="42"/>
        <v>0.60000000000000009</v>
      </c>
      <c r="AC45" s="830">
        <f t="shared" si="42"/>
        <v>1</v>
      </c>
      <c r="AD45" s="831">
        <f>SUM(D45:AC45)</f>
        <v>26.320447976878615</v>
      </c>
      <c r="AE45" s="832">
        <v>24</v>
      </c>
      <c r="AF45" s="970">
        <f>ROUND(169*AE45/SUM(AE$37:AE$51),0)</f>
        <v>16</v>
      </c>
      <c r="AG45" s="990">
        <f>SUM(AE45:AF45)</f>
        <v>40</v>
      </c>
      <c r="AH45" s="980">
        <f>5+(147-75)*AF45/AF$36</f>
        <v>11.658959537572255</v>
      </c>
      <c r="AI45" s="833">
        <f>ROUND(89*AH45/AH$36,0)</f>
        <v>7</v>
      </c>
      <c r="AJ45" s="834">
        <f>ROUND(12*AI45/AI$36,0)</f>
        <v>1</v>
      </c>
    </row>
    <row r="46" spans="2:52" ht="43.2" x14ac:dyDescent="0.3">
      <c r="B46" s="808" t="s">
        <v>542</v>
      </c>
      <c r="C46" s="769" t="s">
        <v>581</v>
      </c>
      <c r="D46" s="820">
        <v>0</v>
      </c>
      <c r="E46" s="767">
        <v>0.5</v>
      </c>
      <c r="F46" s="767">
        <v>0</v>
      </c>
      <c r="G46" s="767">
        <v>24</v>
      </c>
      <c r="H46" s="767" t="s">
        <v>523</v>
      </c>
      <c r="I46" s="767" t="s">
        <v>523</v>
      </c>
      <c r="J46" s="767" t="s">
        <v>523</v>
      </c>
      <c r="K46" s="767">
        <v>8</v>
      </c>
      <c r="L46" s="767">
        <v>2</v>
      </c>
      <c r="M46" s="767">
        <v>0</v>
      </c>
      <c r="N46" s="767">
        <v>0</v>
      </c>
      <c r="O46" s="767" t="s">
        <v>524</v>
      </c>
      <c r="P46" s="767">
        <v>40</v>
      </c>
      <c r="Q46" s="767">
        <v>0</v>
      </c>
      <c r="R46" s="767">
        <v>80</v>
      </c>
      <c r="S46" s="767">
        <v>80</v>
      </c>
      <c r="T46" s="767">
        <v>24</v>
      </c>
      <c r="U46" s="767">
        <v>3</v>
      </c>
      <c r="V46" s="767">
        <v>0.5</v>
      </c>
      <c r="W46" s="767">
        <v>1.5</v>
      </c>
      <c r="X46" s="767">
        <v>0</v>
      </c>
      <c r="Y46" s="767">
        <v>16</v>
      </c>
      <c r="Z46" s="767">
        <v>1</v>
      </c>
      <c r="AA46" s="767">
        <v>2</v>
      </c>
      <c r="AB46" s="767">
        <v>24</v>
      </c>
      <c r="AC46" s="767">
        <v>40</v>
      </c>
      <c r="AD46" s="821">
        <f>SUM(D46:AC46)</f>
        <v>346.5</v>
      </c>
      <c r="AE46" s="822"/>
      <c r="AF46" s="968"/>
      <c r="AG46" s="988"/>
      <c r="AH46" s="977"/>
      <c r="AI46" s="768"/>
      <c r="AJ46" s="796"/>
    </row>
    <row r="47" spans="2:52" x14ac:dyDescent="0.3">
      <c r="B47" s="765"/>
      <c r="C47" s="748" t="s">
        <v>442</v>
      </c>
      <c r="D47" s="823">
        <v>0</v>
      </c>
      <c r="E47" s="824">
        <v>0</v>
      </c>
      <c r="F47" s="824">
        <v>0</v>
      </c>
      <c r="G47" s="824">
        <v>1</v>
      </c>
      <c r="H47" s="824"/>
      <c r="I47" s="824"/>
      <c r="J47" s="824"/>
      <c r="K47" s="824"/>
      <c r="L47" s="824">
        <v>0.25</v>
      </c>
      <c r="M47" s="824">
        <v>0.75</v>
      </c>
      <c r="N47" s="824">
        <v>0</v>
      </c>
      <c r="O47" s="824"/>
      <c r="P47" s="824">
        <v>1</v>
      </c>
      <c r="Q47" s="824">
        <v>0</v>
      </c>
      <c r="R47" s="824">
        <f>AH48/AG48</f>
        <v>0.35058475601559347</v>
      </c>
      <c r="S47" s="824">
        <f>1-R47</f>
        <v>0.64941524398440653</v>
      </c>
      <c r="T47" s="824">
        <f>$R47</f>
        <v>0.35058475601559347</v>
      </c>
      <c r="U47" s="824">
        <f>$S47</f>
        <v>0.64941524398440653</v>
      </c>
      <c r="V47" s="824">
        <v>1</v>
      </c>
      <c r="W47" s="824">
        <f>AI48/AG48</f>
        <v>0.20930232558139536</v>
      </c>
      <c r="X47" s="824">
        <v>0</v>
      </c>
      <c r="Y47" s="824">
        <f>W47</f>
        <v>0.20930232558139536</v>
      </c>
      <c r="Z47" s="824">
        <f>AJ48/AG48</f>
        <v>2.3255813953488372E-2</v>
      </c>
      <c r="AA47" s="824">
        <f>$Z47</f>
        <v>2.3255813953488372E-2</v>
      </c>
      <c r="AB47" s="824">
        <f>$AA47</f>
        <v>2.3255813953488372E-2</v>
      </c>
      <c r="AC47" s="824">
        <f>$AA47</f>
        <v>2.3255813953488372E-2</v>
      </c>
      <c r="AD47" s="825"/>
      <c r="AE47" s="826"/>
      <c r="AF47" s="969"/>
      <c r="AG47" s="989"/>
      <c r="AH47" s="979"/>
      <c r="AI47" s="827"/>
      <c r="AJ47" s="828"/>
    </row>
    <row r="48" spans="2:52" x14ac:dyDescent="0.3">
      <c r="B48" s="251"/>
      <c r="C48" s="748" t="s">
        <v>534</v>
      </c>
      <c r="D48" s="829">
        <f>D46*D47</f>
        <v>0</v>
      </c>
      <c r="E48" s="830">
        <f t="shared" ref="E48:G48" si="43">E46*E47</f>
        <v>0</v>
      </c>
      <c r="F48" s="830">
        <f t="shared" si="43"/>
        <v>0</v>
      </c>
      <c r="G48" s="830">
        <f t="shared" si="43"/>
        <v>24</v>
      </c>
      <c r="H48" s="830"/>
      <c r="I48" s="830"/>
      <c r="J48" s="830"/>
      <c r="K48" s="830"/>
      <c r="L48" s="830">
        <f t="shared" ref="L48:N48" si="44">L46*L47</f>
        <v>0.5</v>
      </c>
      <c r="M48" s="830">
        <f t="shared" si="44"/>
        <v>0</v>
      </c>
      <c r="N48" s="830">
        <f t="shared" si="44"/>
        <v>0</v>
      </c>
      <c r="O48" s="830"/>
      <c r="P48" s="830">
        <f t="shared" ref="P48:AC48" si="45">P46*P47</f>
        <v>40</v>
      </c>
      <c r="Q48" s="830">
        <f t="shared" si="45"/>
        <v>0</v>
      </c>
      <c r="R48" s="830">
        <f t="shared" si="45"/>
        <v>28.046780481247477</v>
      </c>
      <c r="S48" s="830">
        <f t="shared" si="45"/>
        <v>51.953219518752519</v>
      </c>
      <c r="T48" s="830">
        <f t="shared" si="45"/>
        <v>8.4140341443742432</v>
      </c>
      <c r="U48" s="830">
        <f t="shared" si="45"/>
        <v>1.9482457319532196</v>
      </c>
      <c r="V48" s="830">
        <f t="shared" si="45"/>
        <v>0.5</v>
      </c>
      <c r="W48" s="830">
        <f t="shared" si="45"/>
        <v>0.31395348837209303</v>
      </c>
      <c r="X48" s="830">
        <f t="shared" si="45"/>
        <v>0</v>
      </c>
      <c r="Y48" s="830">
        <f t="shared" si="45"/>
        <v>3.3488372093023258</v>
      </c>
      <c r="Z48" s="830">
        <f t="shared" si="45"/>
        <v>2.3255813953488372E-2</v>
      </c>
      <c r="AA48" s="830">
        <f t="shared" si="45"/>
        <v>4.6511627906976744E-2</v>
      </c>
      <c r="AB48" s="830">
        <f t="shared" si="45"/>
        <v>0.55813953488372092</v>
      </c>
      <c r="AC48" s="830">
        <f t="shared" si="45"/>
        <v>0.93023255813953487</v>
      </c>
      <c r="AD48" s="831">
        <f>SUM(D48:AC48)</f>
        <v>160.58321010888559</v>
      </c>
      <c r="AE48" s="832">
        <v>52</v>
      </c>
      <c r="AF48" s="970">
        <f>ROUND(169*AE48/SUM(AE$37:AE$51),0)</f>
        <v>34</v>
      </c>
      <c r="AG48" s="990">
        <f>SUM(AE48:AF48)</f>
        <v>86</v>
      </c>
      <c r="AH48" s="980">
        <f>16+(147-75)*AF48/AF$36</f>
        <v>30.150289017341038</v>
      </c>
      <c r="AI48" s="833">
        <f>ROUND(89*AH48/AH$36,0)</f>
        <v>18</v>
      </c>
      <c r="AJ48" s="834">
        <f>ROUND(12*AI48/AI$36,0)</f>
        <v>2</v>
      </c>
    </row>
    <row r="49" spans="2:52" ht="86.4" x14ac:dyDescent="0.3">
      <c r="B49" s="808" t="s">
        <v>543</v>
      </c>
      <c r="C49" s="769" t="s">
        <v>544</v>
      </c>
      <c r="D49" s="820">
        <v>0</v>
      </c>
      <c r="E49" s="767">
        <v>0</v>
      </c>
      <c r="F49" s="767">
        <v>0</v>
      </c>
      <c r="G49" s="767">
        <v>16</v>
      </c>
      <c r="H49" s="767" t="s">
        <v>523</v>
      </c>
      <c r="I49" s="767" t="s">
        <v>523</v>
      </c>
      <c r="J49" s="767" t="s">
        <v>523</v>
      </c>
      <c r="K49" s="767" t="s">
        <v>523</v>
      </c>
      <c r="L49" s="767">
        <v>1</v>
      </c>
      <c r="M49" s="767">
        <v>1</v>
      </c>
      <c r="N49" s="767">
        <v>0</v>
      </c>
      <c r="O49" s="767" t="s">
        <v>524</v>
      </c>
      <c r="P49" s="767">
        <v>2</v>
      </c>
      <c r="Q49" s="767">
        <v>0</v>
      </c>
      <c r="R49" s="767">
        <v>24</v>
      </c>
      <c r="S49" s="767">
        <v>24</v>
      </c>
      <c r="T49" s="767">
        <v>12</v>
      </c>
      <c r="U49" s="767">
        <v>3</v>
      </c>
      <c r="V49" s="767">
        <v>0.5</v>
      </c>
      <c r="W49" s="767">
        <v>0.5</v>
      </c>
      <c r="X49" s="767">
        <v>0</v>
      </c>
      <c r="Y49" s="767">
        <v>16</v>
      </c>
      <c r="Z49" s="767">
        <v>0.5</v>
      </c>
      <c r="AA49" s="767">
        <v>2</v>
      </c>
      <c r="AB49" s="767">
        <v>0</v>
      </c>
      <c r="AC49" s="767">
        <v>40</v>
      </c>
      <c r="AD49" s="821">
        <f>SUM(D49:AC49)</f>
        <v>142.5</v>
      </c>
      <c r="AE49" s="822"/>
      <c r="AF49" s="968"/>
      <c r="AG49" s="988"/>
      <c r="AH49" s="977"/>
      <c r="AI49" s="768"/>
      <c r="AJ49" s="796"/>
    </row>
    <row r="50" spans="2:52" x14ac:dyDescent="0.3">
      <c r="B50" s="765"/>
      <c r="C50" s="748" t="s">
        <v>442</v>
      </c>
      <c r="D50" s="823">
        <v>0</v>
      </c>
      <c r="E50" s="824">
        <v>0</v>
      </c>
      <c r="F50" s="824">
        <v>0</v>
      </c>
      <c r="G50" s="824">
        <v>1</v>
      </c>
      <c r="H50" s="824"/>
      <c r="I50" s="824"/>
      <c r="J50" s="824"/>
      <c r="K50" s="824"/>
      <c r="L50" s="824">
        <v>0.25</v>
      </c>
      <c r="M50" s="824">
        <v>0.75</v>
      </c>
      <c r="N50" s="824">
        <v>0</v>
      </c>
      <c r="O50" s="824"/>
      <c r="P50" s="824">
        <v>1</v>
      </c>
      <c r="Q50" s="824">
        <v>0</v>
      </c>
      <c r="R50" s="824">
        <f>AH51/AG51</f>
        <v>0.32097161784763267</v>
      </c>
      <c r="S50" s="824">
        <f>1-R50</f>
        <v>0.67902838215236727</v>
      </c>
      <c r="T50" s="824">
        <f>$R50</f>
        <v>0.32097161784763267</v>
      </c>
      <c r="U50" s="824">
        <f>$S50</f>
        <v>0.67902838215236727</v>
      </c>
      <c r="V50" s="824">
        <v>1</v>
      </c>
      <c r="W50" s="824">
        <f>AI51/AG51</f>
        <v>0.19101123595505617</v>
      </c>
      <c r="X50" s="824">
        <v>0</v>
      </c>
      <c r="Y50" s="824">
        <f>W50</f>
        <v>0.19101123595505617</v>
      </c>
      <c r="Z50" s="824">
        <f>AJ51/AG51</f>
        <v>2.247191011235955E-2</v>
      </c>
      <c r="AA50" s="824">
        <f>$Z50</f>
        <v>2.247191011235955E-2</v>
      </c>
      <c r="AB50" s="824">
        <f>$AA50</f>
        <v>2.247191011235955E-2</v>
      </c>
      <c r="AC50" s="824">
        <f>$AA50</f>
        <v>2.247191011235955E-2</v>
      </c>
      <c r="AD50" s="825"/>
      <c r="AE50" s="826"/>
      <c r="AF50" s="969"/>
      <c r="AG50" s="989"/>
      <c r="AH50" s="979"/>
      <c r="AI50" s="827"/>
      <c r="AJ50" s="828"/>
    </row>
    <row r="51" spans="2:52" x14ac:dyDescent="0.3">
      <c r="B51" s="765"/>
      <c r="C51" s="835" t="s">
        <v>534</v>
      </c>
      <c r="D51" s="836">
        <f>D49*D50</f>
        <v>0</v>
      </c>
      <c r="E51" s="837">
        <f t="shared" ref="E51:G51" si="46">E49*E50</f>
        <v>0</v>
      </c>
      <c r="F51" s="837">
        <f t="shared" si="46"/>
        <v>0</v>
      </c>
      <c r="G51" s="837">
        <f t="shared" si="46"/>
        <v>16</v>
      </c>
      <c r="H51" s="837"/>
      <c r="I51" s="837"/>
      <c r="J51" s="837"/>
      <c r="K51" s="837"/>
      <c r="L51" s="837">
        <f t="shared" ref="L51:N51" si="47">L49*L50</f>
        <v>0.25</v>
      </c>
      <c r="M51" s="837">
        <f t="shared" si="47"/>
        <v>0.75</v>
      </c>
      <c r="N51" s="837">
        <f t="shared" si="47"/>
        <v>0</v>
      </c>
      <c r="O51" s="837"/>
      <c r="P51" s="837">
        <f t="shared" ref="P51:AC51" si="48">P49*P50</f>
        <v>2</v>
      </c>
      <c r="Q51" s="837">
        <f t="shared" si="48"/>
        <v>0</v>
      </c>
      <c r="R51" s="837">
        <f t="shared" si="48"/>
        <v>7.7033188283431837</v>
      </c>
      <c r="S51" s="837">
        <f t="shared" si="48"/>
        <v>16.296681171656815</v>
      </c>
      <c r="T51" s="837">
        <f t="shared" si="48"/>
        <v>3.8516594141715919</v>
      </c>
      <c r="U51" s="837">
        <f t="shared" si="48"/>
        <v>2.0370851464571018</v>
      </c>
      <c r="V51" s="837">
        <f t="shared" si="48"/>
        <v>0.5</v>
      </c>
      <c r="W51" s="837">
        <f t="shared" si="48"/>
        <v>9.5505617977528087E-2</v>
      </c>
      <c r="X51" s="837">
        <f t="shared" si="48"/>
        <v>0</v>
      </c>
      <c r="Y51" s="837">
        <f t="shared" si="48"/>
        <v>3.0561797752808988</v>
      </c>
      <c r="Z51" s="837">
        <f t="shared" si="48"/>
        <v>1.1235955056179775E-2</v>
      </c>
      <c r="AA51" s="837">
        <f t="shared" si="48"/>
        <v>4.49438202247191E-2</v>
      </c>
      <c r="AB51" s="837">
        <f t="shared" si="48"/>
        <v>0</v>
      </c>
      <c r="AC51" s="837">
        <f t="shared" si="48"/>
        <v>0.898876404494382</v>
      </c>
      <c r="AD51" s="838">
        <f>SUM(D51:AC51)</f>
        <v>53.495486133662396</v>
      </c>
      <c r="AE51" s="826">
        <v>54</v>
      </c>
      <c r="AF51" s="970">
        <f>ROUND(169*AE51/SUM(AE$37:AE$51),0)</f>
        <v>35</v>
      </c>
      <c r="AG51" s="989">
        <f>SUM(AE51:AF51)</f>
        <v>89</v>
      </c>
      <c r="AH51" s="980">
        <f>14+(147-75)*AF51/AF$36</f>
        <v>28.566473988439306</v>
      </c>
      <c r="AI51" s="833">
        <f>ROUND(89*AH51/AH$36,0)</f>
        <v>17</v>
      </c>
      <c r="AJ51" s="828">
        <f>ROUND(12*AI51/AI$36,0)</f>
        <v>2</v>
      </c>
    </row>
    <row r="52" spans="2:52" ht="15" thickBot="1" x14ac:dyDescent="0.35">
      <c r="B52" s="839"/>
      <c r="C52" s="840" t="s">
        <v>535</v>
      </c>
      <c r="D52" s="841"/>
      <c r="E52" s="841"/>
      <c r="F52" s="841"/>
      <c r="G52" s="842"/>
      <c r="H52" s="842"/>
      <c r="I52" s="842"/>
      <c r="J52" s="842"/>
      <c r="K52" s="842"/>
      <c r="L52" s="842"/>
      <c r="M52" s="842"/>
      <c r="N52" s="842"/>
      <c r="O52" s="842"/>
      <c r="P52" s="842"/>
      <c r="Q52" s="842"/>
      <c r="R52" s="842"/>
      <c r="S52" s="842"/>
      <c r="T52" s="842"/>
      <c r="U52" s="842"/>
      <c r="V52" s="842"/>
      <c r="W52" s="842"/>
      <c r="X52" s="842"/>
      <c r="Y52" s="842"/>
      <c r="Z52" s="842"/>
      <c r="AA52" s="842"/>
      <c r="AB52" s="842"/>
      <c r="AC52" s="842"/>
      <c r="AD52" s="843"/>
      <c r="AE52" s="844">
        <f>558-173-SUM(AE37:AE51)</f>
        <v>125</v>
      </c>
      <c r="AF52" s="971">
        <v>4</v>
      </c>
      <c r="AG52" s="991">
        <f>SUM(AE52:AF52)</f>
        <v>129</v>
      </c>
      <c r="AH52" s="981">
        <f>5+(147-75)*AF52/AF$36</f>
        <v>6.6647398843930636</v>
      </c>
      <c r="AI52" s="845">
        <f>ROUND(89*AH52/AH$36,0)</f>
        <v>4</v>
      </c>
      <c r="AJ52" s="846">
        <f>ROUND(12*AI52/AI$36,0)</f>
        <v>1</v>
      </c>
    </row>
    <row r="53" spans="2:52" x14ac:dyDescent="0.3">
      <c r="B53" s="756" t="s">
        <v>458</v>
      </c>
      <c r="C53" s="757" t="s">
        <v>445</v>
      </c>
      <c r="D53" s="761">
        <f>D56*$AG56/($AG53-$AG60)+D59*$AG59/($AG53-$AG60)</f>
        <v>0</v>
      </c>
      <c r="E53" s="761">
        <f>E56*$AG56/($AG53-$AG60)+E59*$AG59/($AG53-$AG60)</f>
        <v>0</v>
      </c>
      <c r="F53" s="761">
        <f>F56*$AG56/($AG53-$AG60)+F59*$AG59/($AG53-$AG60)</f>
        <v>0</v>
      </c>
      <c r="G53" s="760">
        <f>G56*$AG56/($AG53-$AG60)+G59*$AG59/($AG53-$AG60)</f>
        <v>4</v>
      </c>
      <c r="H53" s="817"/>
      <c r="I53" s="817"/>
      <c r="J53" s="817"/>
      <c r="K53" s="817"/>
      <c r="L53" s="760">
        <f>L56*$AG56/($AG53-$AG60)+L59*$AG59/($AG53-$AG60)</f>
        <v>0.19970986460348161</v>
      </c>
      <c r="M53" s="761">
        <f>M56*$AG56/($AG53-$AG60)+M59*$AG59/($AG53-$AG60)</f>
        <v>0</v>
      </c>
      <c r="N53" s="761">
        <f>N56*$AG56/($AG53-$AG60)+N59*$AG59/($AG53-$AG60)</f>
        <v>0</v>
      </c>
      <c r="O53" s="761"/>
      <c r="P53" s="761">
        <f t="shared" ref="P53:AC53" si="49">P56*$AG56/($AG53-$AG60)+P59*$AG59/($AG53-$AG60)</f>
        <v>2.5976789168278529</v>
      </c>
      <c r="Q53" s="761">
        <f t="shared" si="49"/>
        <v>0</v>
      </c>
      <c r="R53" s="761">
        <f t="shared" si="49"/>
        <v>14.599613152804643</v>
      </c>
      <c r="S53" s="761">
        <f t="shared" si="49"/>
        <v>0.44874274661508701</v>
      </c>
      <c r="T53" s="761">
        <f t="shared" si="49"/>
        <v>6.6150870406189561</v>
      </c>
      <c r="U53" s="761">
        <f t="shared" si="49"/>
        <v>0.69632495164410058</v>
      </c>
      <c r="V53" s="761">
        <f t="shared" si="49"/>
        <v>0.5</v>
      </c>
      <c r="W53" s="761">
        <f t="shared" si="49"/>
        <v>0.16150870406189555</v>
      </c>
      <c r="X53" s="761">
        <f t="shared" si="49"/>
        <v>0</v>
      </c>
      <c r="Y53" s="761">
        <f t="shared" si="49"/>
        <v>6.1508704061895543</v>
      </c>
      <c r="Z53" s="761">
        <f t="shared" si="49"/>
        <v>1.9342359767891681E-2</v>
      </c>
      <c r="AA53" s="761">
        <f t="shared" si="49"/>
        <v>3.8684719535783361E-2</v>
      </c>
      <c r="AB53" s="761">
        <f t="shared" si="49"/>
        <v>0.42553191489361702</v>
      </c>
      <c r="AC53" s="761">
        <f t="shared" si="49"/>
        <v>2.7079303675048352</v>
      </c>
      <c r="AD53" s="847">
        <f>SUM(D53:AC53)</f>
        <v>39.161025145067697</v>
      </c>
      <c r="AE53" s="848">
        <f t="shared" ref="AE53:AJ53" si="50">SUM(AE54:AE60)</f>
        <v>517</v>
      </c>
      <c r="AF53" s="973">
        <f t="shared" si="50"/>
        <v>0</v>
      </c>
      <c r="AG53" s="992">
        <f t="shared" si="50"/>
        <v>517</v>
      </c>
      <c r="AH53" s="982">
        <f t="shared" si="50"/>
        <v>285</v>
      </c>
      <c r="AI53" s="763">
        <f t="shared" si="50"/>
        <v>167</v>
      </c>
      <c r="AJ53" s="795">
        <f t="shared" si="50"/>
        <v>20</v>
      </c>
      <c r="AL53" s="252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</row>
    <row r="54" spans="2:52" ht="28.8" x14ac:dyDescent="0.3">
      <c r="B54" s="808" t="s">
        <v>545</v>
      </c>
      <c r="C54" s="769" t="s">
        <v>447</v>
      </c>
      <c r="D54" s="820">
        <v>0</v>
      </c>
      <c r="E54" s="767">
        <v>0</v>
      </c>
      <c r="F54" s="767">
        <v>0</v>
      </c>
      <c r="G54" s="767">
        <v>4</v>
      </c>
      <c r="H54" s="767" t="s">
        <v>523</v>
      </c>
      <c r="I54" s="767" t="s">
        <v>523</v>
      </c>
      <c r="J54" s="767" t="s">
        <v>523</v>
      </c>
      <c r="K54" s="767" t="s">
        <v>523</v>
      </c>
      <c r="L54" s="767">
        <v>1</v>
      </c>
      <c r="M54" s="767" t="s">
        <v>525</v>
      </c>
      <c r="N54" s="767">
        <v>0</v>
      </c>
      <c r="O54" s="767" t="s">
        <v>524</v>
      </c>
      <c r="P54" s="767">
        <v>3</v>
      </c>
      <c r="Q54" s="767">
        <v>0.5</v>
      </c>
      <c r="R54" s="767">
        <v>24</v>
      </c>
      <c r="S54" s="767">
        <v>1</v>
      </c>
      <c r="T54" s="767">
        <v>12</v>
      </c>
      <c r="U54" s="767">
        <v>0</v>
      </c>
      <c r="V54" s="767">
        <v>0.5</v>
      </c>
      <c r="W54" s="767">
        <v>0.5</v>
      </c>
      <c r="X54" s="767">
        <v>3.5</v>
      </c>
      <c r="Y54" s="767">
        <v>20</v>
      </c>
      <c r="Z54" s="767">
        <v>0.5</v>
      </c>
      <c r="AA54" s="767">
        <v>1</v>
      </c>
      <c r="AB54" s="767">
        <v>12</v>
      </c>
      <c r="AC54" s="767">
        <v>40</v>
      </c>
      <c r="AD54" s="821">
        <f>SUM(D54:AC54)</f>
        <v>123.5</v>
      </c>
      <c r="AE54" s="822"/>
      <c r="AF54" s="968"/>
      <c r="AG54" s="988"/>
      <c r="AH54" s="977"/>
      <c r="AI54" s="768"/>
      <c r="AJ54" s="796"/>
      <c r="AL54" s="252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</row>
    <row r="55" spans="2:52" x14ac:dyDescent="0.3">
      <c r="B55" s="765"/>
      <c r="C55" s="748" t="s">
        <v>442</v>
      </c>
      <c r="D55" s="823">
        <v>0</v>
      </c>
      <c r="E55" s="824">
        <v>0</v>
      </c>
      <c r="F55" s="824">
        <v>0</v>
      </c>
      <c r="G55" s="824">
        <v>1</v>
      </c>
      <c r="H55" s="824"/>
      <c r="I55" s="824"/>
      <c r="J55" s="824"/>
      <c r="K55" s="824"/>
      <c r="L55" s="824">
        <v>0.25</v>
      </c>
      <c r="M55" s="824"/>
      <c r="N55" s="824">
        <v>0</v>
      </c>
      <c r="O55" s="824"/>
      <c r="P55" s="824">
        <v>1</v>
      </c>
      <c r="Q55" s="824">
        <v>0</v>
      </c>
      <c r="R55" s="824">
        <f>AH56/AG56</f>
        <v>0.54721549636803879</v>
      </c>
      <c r="S55" s="824">
        <f>1-R55</f>
        <v>0.45278450363196121</v>
      </c>
      <c r="T55" s="824">
        <f>$R55</f>
        <v>0.54721549636803879</v>
      </c>
      <c r="U55" s="824">
        <f>$S55</f>
        <v>0.45278450363196121</v>
      </c>
      <c r="V55" s="824">
        <v>1</v>
      </c>
      <c r="W55" s="824">
        <f>AI56/AG56</f>
        <v>0.30750605326876512</v>
      </c>
      <c r="X55" s="824">
        <v>0</v>
      </c>
      <c r="Y55" s="824">
        <f>W55</f>
        <v>0.30750605326876512</v>
      </c>
      <c r="Z55" s="824">
        <f>AJ56/AG56</f>
        <v>3.6319612590799029E-2</v>
      </c>
      <c r="AA55" s="824">
        <f>$Z55</f>
        <v>3.6319612590799029E-2</v>
      </c>
      <c r="AB55" s="824">
        <f>$AA55</f>
        <v>3.6319612590799029E-2</v>
      </c>
      <c r="AC55" s="824">
        <f>$AA55</f>
        <v>3.6319612590799029E-2</v>
      </c>
      <c r="AD55" s="825"/>
      <c r="AE55" s="826"/>
      <c r="AF55" s="969"/>
      <c r="AG55" s="989"/>
      <c r="AH55" s="979"/>
      <c r="AI55" s="827"/>
      <c r="AJ55" s="828"/>
      <c r="AL55" s="252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</row>
    <row r="56" spans="2:52" x14ac:dyDescent="0.3">
      <c r="B56" s="251"/>
      <c r="C56" s="748" t="s">
        <v>534</v>
      </c>
      <c r="D56" s="829">
        <f>D54*D55</f>
        <v>0</v>
      </c>
      <c r="E56" s="830">
        <f t="shared" ref="E56:G56" si="51">E54*E55</f>
        <v>0</v>
      </c>
      <c r="F56" s="830">
        <f t="shared" si="51"/>
        <v>0</v>
      </c>
      <c r="G56" s="830">
        <f t="shared" si="51"/>
        <v>4</v>
      </c>
      <c r="H56" s="830"/>
      <c r="I56" s="830"/>
      <c r="J56" s="830"/>
      <c r="K56" s="830"/>
      <c r="L56" s="830">
        <f t="shared" ref="L56:N56" si="52">L54*L55</f>
        <v>0.25</v>
      </c>
      <c r="M56" s="830"/>
      <c r="N56" s="830">
        <f t="shared" si="52"/>
        <v>0</v>
      </c>
      <c r="O56" s="830"/>
      <c r="P56" s="830">
        <f t="shared" ref="P56:AC56" si="53">P54*P55</f>
        <v>3</v>
      </c>
      <c r="Q56" s="830">
        <f t="shared" si="53"/>
        <v>0</v>
      </c>
      <c r="R56" s="830">
        <f t="shared" si="53"/>
        <v>13.133171912832932</v>
      </c>
      <c r="S56" s="830">
        <f t="shared" si="53"/>
        <v>0.45278450363196121</v>
      </c>
      <c r="T56" s="830">
        <f t="shared" si="53"/>
        <v>6.5665859564164659</v>
      </c>
      <c r="U56" s="830">
        <f t="shared" si="53"/>
        <v>0</v>
      </c>
      <c r="V56" s="830">
        <f t="shared" si="53"/>
        <v>0.5</v>
      </c>
      <c r="W56" s="830">
        <f t="shared" si="53"/>
        <v>0.15375302663438256</v>
      </c>
      <c r="X56" s="830">
        <f t="shared" si="53"/>
        <v>0</v>
      </c>
      <c r="Y56" s="830">
        <f t="shared" si="53"/>
        <v>6.150121065375302</v>
      </c>
      <c r="Z56" s="830">
        <f t="shared" si="53"/>
        <v>1.8159806295399514E-2</v>
      </c>
      <c r="AA56" s="830">
        <f t="shared" si="53"/>
        <v>3.6319612590799029E-2</v>
      </c>
      <c r="AB56" s="830">
        <f t="shared" si="53"/>
        <v>0.43583535108958837</v>
      </c>
      <c r="AC56" s="830">
        <f t="shared" si="53"/>
        <v>1.4527845036319611</v>
      </c>
      <c r="AD56" s="831">
        <f>SUM(D56:AC56)</f>
        <v>36.149515738498792</v>
      </c>
      <c r="AE56" s="832">
        <v>413</v>
      </c>
      <c r="AF56" s="970">
        <v>0</v>
      </c>
      <c r="AG56" s="990">
        <f>SUM(AE56:AF56)</f>
        <v>413</v>
      </c>
      <c r="AH56" s="980">
        <v>226</v>
      </c>
      <c r="AI56" s="833">
        <v>127</v>
      </c>
      <c r="AJ56" s="834">
        <f>ROUND(20*AI56/AI$53,0)</f>
        <v>15</v>
      </c>
    </row>
    <row r="57" spans="2:52" ht="43.2" x14ac:dyDescent="0.3">
      <c r="B57" s="808" t="s">
        <v>546</v>
      </c>
      <c r="C57" s="769" t="s">
        <v>547</v>
      </c>
      <c r="D57" s="820">
        <v>0</v>
      </c>
      <c r="E57" s="767">
        <v>0</v>
      </c>
      <c r="F57" s="767">
        <v>0</v>
      </c>
      <c r="G57" s="767">
        <v>4</v>
      </c>
      <c r="H57" s="767" t="s">
        <v>523</v>
      </c>
      <c r="I57" s="767" t="s">
        <v>523</v>
      </c>
      <c r="J57" s="767" t="s">
        <v>523</v>
      </c>
      <c r="K57" s="767" t="s">
        <v>523</v>
      </c>
      <c r="L57" s="767">
        <v>0</v>
      </c>
      <c r="M57" s="767">
        <v>0</v>
      </c>
      <c r="N57" s="767">
        <v>0</v>
      </c>
      <c r="O57" s="767" t="s">
        <v>524</v>
      </c>
      <c r="P57" s="767">
        <v>1</v>
      </c>
      <c r="Q57" s="767">
        <v>0.5</v>
      </c>
      <c r="R57" s="767">
        <v>36</v>
      </c>
      <c r="S57" s="767">
        <v>1</v>
      </c>
      <c r="T57" s="767">
        <v>12</v>
      </c>
      <c r="U57" s="767">
        <v>8</v>
      </c>
      <c r="V57" s="767">
        <v>0.5</v>
      </c>
      <c r="W57" s="767">
        <v>0.5</v>
      </c>
      <c r="X57" s="767">
        <v>0</v>
      </c>
      <c r="Y57" s="767">
        <v>16</v>
      </c>
      <c r="Z57" s="767">
        <v>0.5</v>
      </c>
      <c r="AA57" s="767">
        <v>1</v>
      </c>
      <c r="AB57" s="767">
        <v>8</v>
      </c>
      <c r="AC57" s="767">
        <v>160</v>
      </c>
      <c r="AD57" s="821">
        <f>SUM(D57:AC57)</f>
        <v>249</v>
      </c>
      <c r="AE57" s="822"/>
      <c r="AF57" s="968"/>
      <c r="AG57" s="988"/>
      <c r="AH57" s="977"/>
      <c r="AI57" s="768"/>
      <c r="AJ57" s="796"/>
    </row>
    <row r="58" spans="2:52" x14ac:dyDescent="0.3">
      <c r="B58" s="765"/>
      <c r="C58" s="748" t="s">
        <v>442</v>
      </c>
      <c r="D58" s="823">
        <v>0</v>
      </c>
      <c r="E58" s="824">
        <v>0</v>
      </c>
      <c r="F58" s="824">
        <v>0</v>
      </c>
      <c r="G58" s="824">
        <v>1</v>
      </c>
      <c r="H58" s="824"/>
      <c r="I58" s="824"/>
      <c r="J58" s="824"/>
      <c r="K58" s="824"/>
      <c r="L58" s="824">
        <v>0</v>
      </c>
      <c r="M58" s="824">
        <v>0</v>
      </c>
      <c r="N58" s="824">
        <v>0</v>
      </c>
      <c r="O58" s="824"/>
      <c r="P58" s="824">
        <v>1</v>
      </c>
      <c r="Q58" s="824">
        <v>0</v>
      </c>
      <c r="R58" s="824">
        <f>AH59/AG59</f>
        <v>0.56730769230769229</v>
      </c>
      <c r="S58" s="824">
        <f>1-R58</f>
        <v>0.43269230769230771</v>
      </c>
      <c r="T58" s="824">
        <f>$R58</f>
        <v>0.56730769230769229</v>
      </c>
      <c r="U58" s="824">
        <f>$S58</f>
        <v>0.43269230769230771</v>
      </c>
      <c r="V58" s="824">
        <v>1</v>
      </c>
      <c r="W58" s="824">
        <f>AI59/AG59</f>
        <v>0.38461538461538464</v>
      </c>
      <c r="X58" s="824">
        <v>0</v>
      </c>
      <c r="Y58" s="824">
        <f>W58</f>
        <v>0.38461538461538464</v>
      </c>
      <c r="Z58" s="824">
        <f>AJ59/AG59</f>
        <v>4.807692307692308E-2</v>
      </c>
      <c r="AA58" s="824">
        <f>$Z58</f>
        <v>4.807692307692308E-2</v>
      </c>
      <c r="AB58" s="824">
        <f>$AA58</f>
        <v>4.807692307692308E-2</v>
      </c>
      <c r="AC58" s="824">
        <f>$AA58</f>
        <v>4.807692307692308E-2</v>
      </c>
      <c r="AD58" s="825"/>
      <c r="AE58" s="826"/>
      <c r="AF58" s="969"/>
      <c r="AG58" s="989"/>
      <c r="AH58" s="979"/>
      <c r="AI58" s="827"/>
      <c r="AJ58" s="828"/>
    </row>
    <row r="59" spans="2:52" x14ac:dyDescent="0.3">
      <c r="B59" s="251"/>
      <c r="C59" s="748" t="s">
        <v>534</v>
      </c>
      <c r="D59" s="829">
        <f>D57*D58</f>
        <v>0</v>
      </c>
      <c r="E59" s="830">
        <f t="shared" ref="E59:G59" si="54">E57*E58</f>
        <v>0</v>
      </c>
      <c r="F59" s="830">
        <f t="shared" si="54"/>
        <v>0</v>
      </c>
      <c r="G59" s="830">
        <f t="shared" si="54"/>
        <v>4</v>
      </c>
      <c r="H59" s="830"/>
      <c r="I59" s="830"/>
      <c r="J59" s="830"/>
      <c r="K59" s="830"/>
      <c r="L59" s="830">
        <f t="shared" ref="L59:N59" si="55">L57*L58</f>
        <v>0</v>
      </c>
      <c r="M59" s="830">
        <f t="shared" si="55"/>
        <v>0</v>
      </c>
      <c r="N59" s="830">
        <f t="shared" si="55"/>
        <v>0</v>
      </c>
      <c r="O59" s="830"/>
      <c r="P59" s="830">
        <f t="shared" ref="P59:AC59" si="56">P57*P58</f>
        <v>1</v>
      </c>
      <c r="Q59" s="830">
        <f t="shared" si="56"/>
        <v>0</v>
      </c>
      <c r="R59" s="830">
        <f t="shared" si="56"/>
        <v>20.423076923076923</v>
      </c>
      <c r="S59" s="830">
        <f t="shared" si="56"/>
        <v>0.43269230769230771</v>
      </c>
      <c r="T59" s="830">
        <f t="shared" si="56"/>
        <v>6.8076923076923075</v>
      </c>
      <c r="U59" s="830">
        <f t="shared" si="56"/>
        <v>3.4615384615384617</v>
      </c>
      <c r="V59" s="830">
        <f t="shared" si="56"/>
        <v>0.5</v>
      </c>
      <c r="W59" s="830">
        <f t="shared" si="56"/>
        <v>0.19230769230769232</v>
      </c>
      <c r="X59" s="830">
        <f t="shared" si="56"/>
        <v>0</v>
      </c>
      <c r="Y59" s="830">
        <f t="shared" si="56"/>
        <v>6.1538461538461542</v>
      </c>
      <c r="Z59" s="830">
        <f t="shared" si="56"/>
        <v>2.403846153846154E-2</v>
      </c>
      <c r="AA59" s="830">
        <f t="shared" si="56"/>
        <v>4.807692307692308E-2</v>
      </c>
      <c r="AB59" s="830">
        <f t="shared" si="56"/>
        <v>0.38461538461538464</v>
      </c>
      <c r="AC59" s="830">
        <f t="shared" si="56"/>
        <v>7.6923076923076925</v>
      </c>
      <c r="AD59" s="831">
        <f>SUM(D59:AC59)</f>
        <v>51.120192307692307</v>
      </c>
      <c r="AE59" s="832">
        <v>104</v>
      </c>
      <c r="AF59" s="970">
        <v>0</v>
      </c>
      <c r="AG59" s="990">
        <f>SUM(AE59:AF59)</f>
        <v>104</v>
      </c>
      <c r="AH59" s="980">
        <v>59</v>
      </c>
      <c r="AI59" s="833">
        <v>40</v>
      </c>
      <c r="AJ59" s="834">
        <f>ROUND(20*AI59/AI$53,0)</f>
        <v>5</v>
      </c>
    </row>
    <row r="60" spans="2:52" ht="15" thickBot="1" x14ac:dyDescent="0.35">
      <c r="B60" s="839"/>
      <c r="C60" s="840" t="s">
        <v>535</v>
      </c>
      <c r="D60" s="841"/>
      <c r="E60" s="841"/>
      <c r="F60" s="841"/>
      <c r="G60" s="842"/>
      <c r="H60" s="842"/>
      <c r="I60" s="842"/>
      <c r="J60" s="842"/>
      <c r="K60" s="842"/>
      <c r="L60" s="842"/>
      <c r="M60" s="842"/>
      <c r="N60" s="842"/>
      <c r="O60" s="842"/>
      <c r="P60" s="842"/>
      <c r="Q60" s="842"/>
      <c r="R60" s="842"/>
      <c r="S60" s="842"/>
      <c r="T60" s="842"/>
      <c r="U60" s="842"/>
      <c r="V60" s="842"/>
      <c r="W60" s="842"/>
      <c r="X60" s="842"/>
      <c r="Y60" s="842"/>
      <c r="Z60" s="842"/>
      <c r="AA60" s="842"/>
      <c r="AB60" s="842"/>
      <c r="AC60" s="842"/>
      <c r="AD60" s="843"/>
      <c r="AE60" s="844">
        <f>517-SUM(AE54:AE59)</f>
        <v>0</v>
      </c>
      <c r="AF60" s="971">
        <v>0</v>
      </c>
      <c r="AG60" s="991">
        <f>SUM(AE60:AF60)</f>
        <v>0</v>
      </c>
      <c r="AH60" s="981">
        <v>0</v>
      </c>
      <c r="AI60" s="845">
        <f>ROUND(89*AH60/AH$36,0)</f>
        <v>0</v>
      </c>
      <c r="AJ60" s="846">
        <f>ROUND(20*AI60/AI$53,0)</f>
        <v>0</v>
      </c>
    </row>
    <row r="61" spans="2:52" x14ac:dyDescent="0.3">
      <c r="B61" s="756" t="s">
        <v>459</v>
      </c>
      <c r="C61" s="757" t="s">
        <v>446</v>
      </c>
      <c r="D61" s="761">
        <f>D64*$AG64/($AG61-$AG71)+D67*$AG67/($AG61-$AG71)+D70*$AG70/($AG61-$AG71)</f>
        <v>0</v>
      </c>
      <c r="E61" s="761">
        <f>E64*$AG64/($AG61-$AG71)+E67*$AG67/($AG61-$AG71)+E70*$AG70/($AG61-$AG71)</f>
        <v>10.107784431137725</v>
      </c>
      <c r="F61" s="761">
        <f>F64*$AG64/($AG61-$AG71)+F67*$AG67/($AG61-$AG71)+F70*$AG70/($AG61-$AG71)</f>
        <v>5.6257485029940124</v>
      </c>
      <c r="G61" s="760">
        <f>G64*$AG64/($AG61-$AG71)+G67*$AG67/($AG61-$AG71)+G70*$AG70/($AG61-$AG71)</f>
        <v>6.8023952095808387</v>
      </c>
      <c r="H61" s="817"/>
      <c r="I61" s="817"/>
      <c r="J61" s="817"/>
      <c r="K61" s="817"/>
      <c r="L61" s="760">
        <f>L64*$AG64/($AG61-$AG71)+L67*$AG67/($AG61-$AG71)+L70*$AG70/($AG61-$AG71)</f>
        <v>3.8023952095808387</v>
      </c>
      <c r="M61" s="761">
        <f>M64*$AG64/($AG61-$AG71)+M67*$AG67/($AG61-$AG71)+M70*$AG70/($AG61-$AG71)</f>
        <v>0</v>
      </c>
      <c r="N61" s="761"/>
      <c r="O61" s="761"/>
      <c r="P61" s="761">
        <f t="shared" ref="P61:AC61" si="57">P64*$AG64/($AG61-$AG71)+P67*$AG67/($AG61-$AG71)+P70*$AG70/($AG61-$AG71)</f>
        <v>4.5868263473053892</v>
      </c>
      <c r="Q61" s="761">
        <f t="shared" si="57"/>
        <v>0</v>
      </c>
      <c r="R61" s="761">
        <f t="shared" si="57"/>
        <v>1.6287425149700601</v>
      </c>
      <c r="S61" s="761">
        <f t="shared" si="57"/>
        <v>4.3113772455089823</v>
      </c>
      <c r="T61" s="761">
        <f t="shared" si="57"/>
        <v>0.81437125748503003</v>
      </c>
      <c r="U61" s="761">
        <f t="shared" si="57"/>
        <v>3.8323353293413174</v>
      </c>
      <c r="V61" s="761">
        <f t="shared" si="57"/>
        <v>3.7694610778443116</v>
      </c>
      <c r="W61" s="761">
        <f t="shared" si="57"/>
        <v>0</v>
      </c>
      <c r="X61" s="761">
        <f t="shared" si="57"/>
        <v>0</v>
      </c>
      <c r="Y61" s="761">
        <f t="shared" si="57"/>
        <v>0</v>
      </c>
      <c r="Z61" s="761">
        <f t="shared" si="57"/>
        <v>0</v>
      </c>
      <c r="AA61" s="761">
        <f t="shared" si="57"/>
        <v>0</v>
      </c>
      <c r="AB61" s="761">
        <f t="shared" si="57"/>
        <v>0</v>
      </c>
      <c r="AC61" s="761">
        <f t="shared" si="57"/>
        <v>0</v>
      </c>
      <c r="AD61" s="847">
        <f>SUM(D61:AC61)</f>
        <v>45.281437125748504</v>
      </c>
      <c r="AE61" s="848">
        <f t="shared" ref="AE61:AJ61" si="58">SUM(AE62:AE71)</f>
        <v>171</v>
      </c>
      <c r="AF61" s="973">
        <f t="shared" si="58"/>
        <v>0</v>
      </c>
      <c r="AG61" s="992">
        <f t="shared" si="58"/>
        <v>171</v>
      </c>
      <c r="AH61" s="982">
        <f t="shared" si="58"/>
        <v>17</v>
      </c>
      <c r="AI61" s="763">
        <f t="shared" si="58"/>
        <v>0</v>
      </c>
      <c r="AJ61" s="795">
        <f t="shared" si="58"/>
        <v>0</v>
      </c>
    </row>
    <row r="62" spans="2:52" ht="28.8" x14ac:dyDescent="0.3">
      <c r="B62" s="808" t="s">
        <v>548</v>
      </c>
      <c r="C62" s="769" t="s">
        <v>549</v>
      </c>
      <c r="D62" s="820">
        <v>0</v>
      </c>
      <c r="E62" s="767">
        <v>40</v>
      </c>
      <c r="F62" s="767">
        <v>2.5</v>
      </c>
      <c r="G62" s="767">
        <v>16</v>
      </c>
      <c r="H62" s="767" t="s">
        <v>523</v>
      </c>
      <c r="I62" s="767" t="s">
        <v>523</v>
      </c>
      <c r="J62" s="767" t="s">
        <v>523</v>
      </c>
      <c r="K62" s="767" t="s">
        <v>523</v>
      </c>
      <c r="L62" s="767">
        <v>1</v>
      </c>
      <c r="M62" s="767">
        <v>0</v>
      </c>
      <c r="N62" s="767" t="s">
        <v>525</v>
      </c>
      <c r="O62" s="767" t="s">
        <v>524</v>
      </c>
      <c r="P62" s="767">
        <v>8</v>
      </c>
      <c r="Q62" s="767">
        <v>0</v>
      </c>
      <c r="R62" s="767">
        <v>16</v>
      </c>
      <c r="S62" s="767">
        <v>16</v>
      </c>
      <c r="T62" s="767">
        <v>8</v>
      </c>
      <c r="U62" s="767">
        <v>8</v>
      </c>
      <c r="V62" s="767">
        <v>0.5</v>
      </c>
      <c r="W62" s="767">
        <v>1</v>
      </c>
      <c r="X62" s="767">
        <v>0</v>
      </c>
      <c r="Y62" s="767">
        <v>16</v>
      </c>
      <c r="Z62" s="767">
        <v>1</v>
      </c>
      <c r="AA62" s="767">
        <v>1</v>
      </c>
      <c r="AB62" s="767">
        <v>8</v>
      </c>
      <c r="AC62" s="767">
        <v>160</v>
      </c>
      <c r="AD62" s="821">
        <f>SUM(D62:AC62)</f>
        <v>303</v>
      </c>
      <c r="AE62" s="822"/>
      <c r="AF62" s="968"/>
      <c r="AG62" s="988"/>
      <c r="AH62" s="977"/>
      <c r="AI62" s="768"/>
      <c r="AJ62" s="796"/>
    </row>
    <row r="63" spans="2:52" x14ac:dyDescent="0.3">
      <c r="B63" s="765"/>
      <c r="C63" s="748" t="s">
        <v>442</v>
      </c>
      <c r="D63" s="823">
        <v>0</v>
      </c>
      <c r="E63" s="824">
        <v>1</v>
      </c>
      <c r="F63" s="824">
        <v>1</v>
      </c>
      <c r="G63" s="824">
        <v>1</v>
      </c>
      <c r="H63" s="824"/>
      <c r="I63" s="824"/>
      <c r="J63" s="824"/>
      <c r="K63" s="824"/>
      <c r="L63" s="824">
        <v>1</v>
      </c>
      <c r="M63" s="824">
        <v>0</v>
      </c>
      <c r="N63" s="824"/>
      <c r="O63" s="824"/>
      <c r="P63" s="824">
        <v>1</v>
      </c>
      <c r="Q63" s="824">
        <v>0</v>
      </c>
      <c r="R63" s="824">
        <f>AH64/AG64</f>
        <v>9.0909090909090912E-2</v>
      </c>
      <c r="S63" s="824">
        <f>1-R63</f>
        <v>0.90909090909090906</v>
      </c>
      <c r="T63" s="824">
        <f>$R63</f>
        <v>9.0909090909090912E-2</v>
      </c>
      <c r="U63" s="824">
        <f>$S63</f>
        <v>0.90909090909090906</v>
      </c>
      <c r="V63" s="824">
        <v>1</v>
      </c>
      <c r="W63" s="824">
        <f>AI64/AG64</f>
        <v>0</v>
      </c>
      <c r="X63" s="824">
        <v>0</v>
      </c>
      <c r="Y63" s="824">
        <f>W63</f>
        <v>0</v>
      </c>
      <c r="Z63" s="824">
        <f>AJ64/AG64</f>
        <v>0</v>
      </c>
      <c r="AA63" s="824">
        <f>$Z63</f>
        <v>0</v>
      </c>
      <c r="AB63" s="824">
        <f>$AA63</f>
        <v>0</v>
      </c>
      <c r="AC63" s="824">
        <f>$AA63</f>
        <v>0</v>
      </c>
      <c r="AD63" s="825"/>
      <c r="AE63" s="826"/>
      <c r="AF63" s="969"/>
      <c r="AG63" s="989"/>
      <c r="AH63" s="979"/>
      <c r="AI63" s="827"/>
      <c r="AJ63" s="828"/>
    </row>
    <row r="64" spans="2:52" x14ac:dyDescent="0.3">
      <c r="B64" s="251"/>
      <c r="C64" s="748" t="s">
        <v>534</v>
      </c>
      <c r="D64" s="829">
        <f>D62*D63</f>
        <v>0</v>
      </c>
      <c r="E64" s="830">
        <f t="shared" ref="E64:G64" si="59">E62*E63</f>
        <v>40</v>
      </c>
      <c r="F64" s="830">
        <f t="shared" si="59"/>
        <v>2.5</v>
      </c>
      <c r="G64" s="830">
        <f t="shared" si="59"/>
        <v>16</v>
      </c>
      <c r="H64" s="830"/>
      <c r="I64" s="830"/>
      <c r="J64" s="830"/>
      <c r="K64" s="830"/>
      <c r="L64" s="830">
        <f t="shared" ref="L64:M64" si="60">L62*L63</f>
        <v>1</v>
      </c>
      <c r="M64" s="830">
        <f t="shared" si="60"/>
        <v>0</v>
      </c>
      <c r="N64" s="830"/>
      <c r="O64" s="830"/>
      <c r="P64" s="830">
        <f t="shared" ref="P64:AC64" si="61">P62*P63</f>
        <v>8</v>
      </c>
      <c r="Q64" s="830">
        <f t="shared" si="61"/>
        <v>0</v>
      </c>
      <c r="R64" s="830">
        <f t="shared" si="61"/>
        <v>1.4545454545454546</v>
      </c>
      <c r="S64" s="830">
        <f t="shared" si="61"/>
        <v>14.545454545454545</v>
      </c>
      <c r="T64" s="830">
        <f t="shared" si="61"/>
        <v>0.72727272727272729</v>
      </c>
      <c r="U64" s="830">
        <f t="shared" si="61"/>
        <v>7.2727272727272725</v>
      </c>
      <c r="V64" s="830">
        <f t="shared" si="61"/>
        <v>0.5</v>
      </c>
      <c r="W64" s="830">
        <f t="shared" si="61"/>
        <v>0</v>
      </c>
      <c r="X64" s="830">
        <f t="shared" si="61"/>
        <v>0</v>
      </c>
      <c r="Y64" s="830">
        <f t="shared" si="61"/>
        <v>0</v>
      </c>
      <c r="Z64" s="830">
        <f t="shared" si="61"/>
        <v>0</v>
      </c>
      <c r="AA64" s="830">
        <f t="shared" si="61"/>
        <v>0</v>
      </c>
      <c r="AB64" s="830">
        <f t="shared" si="61"/>
        <v>0</v>
      </c>
      <c r="AC64" s="830">
        <f t="shared" si="61"/>
        <v>0</v>
      </c>
      <c r="AD64" s="831">
        <f>SUM(D64:AC64)</f>
        <v>92</v>
      </c>
      <c r="AE64" s="832">
        <v>11</v>
      </c>
      <c r="AF64" s="970">
        <v>0</v>
      </c>
      <c r="AG64" s="990">
        <f>SUM(AE64:AF64)</f>
        <v>11</v>
      </c>
      <c r="AH64" s="980">
        <v>1</v>
      </c>
      <c r="AI64" s="833">
        <v>0</v>
      </c>
      <c r="AJ64" s="834">
        <v>0</v>
      </c>
    </row>
    <row r="65" spans="2:52" ht="43.2" x14ac:dyDescent="0.3">
      <c r="B65" s="808" t="s">
        <v>550</v>
      </c>
      <c r="C65" s="749" t="s">
        <v>565</v>
      </c>
      <c r="D65" s="820">
        <v>0</v>
      </c>
      <c r="E65" s="767">
        <v>8</v>
      </c>
      <c r="F65" s="767">
        <v>8</v>
      </c>
      <c r="G65" s="767">
        <v>4</v>
      </c>
      <c r="H65" s="767" t="s">
        <v>523</v>
      </c>
      <c r="I65" s="767" t="s">
        <v>523</v>
      </c>
      <c r="J65" s="767" t="s">
        <v>523</v>
      </c>
      <c r="K65" s="767" t="s">
        <v>523</v>
      </c>
      <c r="L65" s="767">
        <v>4</v>
      </c>
      <c r="M65" s="767">
        <v>0</v>
      </c>
      <c r="N65" s="767">
        <v>0</v>
      </c>
      <c r="O65" s="767" t="s">
        <v>524</v>
      </c>
      <c r="P65" s="767">
        <v>3</v>
      </c>
      <c r="Q65" s="767">
        <v>0</v>
      </c>
      <c r="R65" s="767">
        <v>16</v>
      </c>
      <c r="S65" s="767">
        <v>4</v>
      </c>
      <c r="T65" s="767">
        <v>8</v>
      </c>
      <c r="U65" s="767">
        <v>4</v>
      </c>
      <c r="V65" s="767">
        <v>4</v>
      </c>
      <c r="W65" s="767">
        <v>1</v>
      </c>
      <c r="X65" s="767">
        <v>8</v>
      </c>
      <c r="Y65" s="767">
        <v>24</v>
      </c>
      <c r="Z65" s="767">
        <v>2</v>
      </c>
      <c r="AA65" s="767">
        <v>4</v>
      </c>
      <c r="AB65" s="767">
        <v>8</v>
      </c>
      <c r="AC65" s="767">
        <v>40</v>
      </c>
      <c r="AD65" s="821">
        <f>SUM(D65:AC65)</f>
        <v>150</v>
      </c>
      <c r="AE65" s="822"/>
      <c r="AF65" s="968"/>
      <c r="AG65" s="988"/>
      <c r="AH65" s="977"/>
      <c r="AI65" s="768"/>
      <c r="AJ65" s="796"/>
    </row>
    <row r="66" spans="2:52" x14ac:dyDescent="0.3">
      <c r="B66" s="765"/>
      <c r="C66" s="949" t="s">
        <v>442</v>
      </c>
      <c r="D66" s="823">
        <v>0</v>
      </c>
      <c r="E66" s="824">
        <v>1</v>
      </c>
      <c r="F66" s="824">
        <v>1</v>
      </c>
      <c r="G66" s="824">
        <v>1</v>
      </c>
      <c r="H66" s="824"/>
      <c r="I66" s="824"/>
      <c r="J66" s="824"/>
      <c r="K66" s="824"/>
      <c r="L66" s="824">
        <v>1</v>
      </c>
      <c r="M66" s="824">
        <v>0</v>
      </c>
      <c r="N66" s="824"/>
      <c r="O66" s="824"/>
      <c r="P66" s="824">
        <v>1</v>
      </c>
      <c r="Q66" s="824">
        <v>0</v>
      </c>
      <c r="R66" s="824">
        <f>AH67/AG67</f>
        <v>0.14035087719298245</v>
      </c>
      <c r="S66" s="824">
        <f>1-R66</f>
        <v>0.85964912280701755</v>
      </c>
      <c r="T66" s="824">
        <f>$R66</f>
        <v>0.14035087719298245</v>
      </c>
      <c r="U66" s="824">
        <f>$S66</f>
        <v>0.85964912280701755</v>
      </c>
      <c r="V66" s="824">
        <v>1</v>
      </c>
      <c r="W66" s="824">
        <f>AI67/AG67</f>
        <v>0</v>
      </c>
      <c r="X66" s="824">
        <v>0</v>
      </c>
      <c r="Y66" s="824">
        <f>W66</f>
        <v>0</v>
      </c>
      <c r="Z66" s="824">
        <f>AJ67/AG67</f>
        <v>0</v>
      </c>
      <c r="AA66" s="824">
        <f>$Z66</f>
        <v>0</v>
      </c>
      <c r="AB66" s="824">
        <f>$AA66</f>
        <v>0</v>
      </c>
      <c r="AC66" s="824">
        <f>$AA66</f>
        <v>0</v>
      </c>
      <c r="AD66" s="825"/>
      <c r="AE66" s="826"/>
      <c r="AF66" s="969"/>
      <c r="AG66" s="989"/>
      <c r="AH66" s="979"/>
      <c r="AI66" s="827"/>
      <c r="AJ66" s="828"/>
    </row>
    <row r="67" spans="2:52" x14ac:dyDescent="0.3">
      <c r="B67" s="251"/>
      <c r="C67" s="748" t="s">
        <v>534</v>
      </c>
      <c r="D67" s="829">
        <f>D65*D66</f>
        <v>0</v>
      </c>
      <c r="E67" s="830">
        <f t="shared" ref="E67:G67" si="62">E65*E66</f>
        <v>8</v>
      </c>
      <c r="F67" s="830">
        <f t="shared" si="62"/>
        <v>8</v>
      </c>
      <c r="G67" s="830">
        <f t="shared" si="62"/>
        <v>4</v>
      </c>
      <c r="H67" s="830"/>
      <c r="I67" s="830"/>
      <c r="J67" s="830"/>
      <c r="K67" s="830"/>
      <c r="L67" s="830">
        <f t="shared" ref="L67:M67" si="63">L65*L66</f>
        <v>4</v>
      </c>
      <c r="M67" s="830">
        <f t="shared" si="63"/>
        <v>0</v>
      </c>
      <c r="N67" s="830"/>
      <c r="O67" s="830"/>
      <c r="P67" s="830">
        <f t="shared" ref="P67:AC67" si="64">P65*P66</f>
        <v>3</v>
      </c>
      <c r="Q67" s="830">
        <f t="shared" si="64"/>
        <v>0</v>
      </c>
      <c r="R67" s="830">
        <f t="shared" si="64"/>
        <v>2.2456140350877192</v>
      </c>
      <c r="S67" s="830">
        <f t="shared" si="64"/>
        <v>3.4385964912280702</v>
      </c>
      <c r="T67" s="830">
        <f t="shared" si="64"/>
        <v>1.1228070175438596</v>
      </c>
      <c r="U67" s="830">
        <f t="shared" si="64"/>
        <v>3.4385964912280702</v>
      </c>
      <c r="V67" s="830">
        <f t="shared" si="64"/>
        <v>4</v>
      </c>
      <c r="W67" s="830">
        <f t="shared" si="64"/>
        <v>0</v>
      </c>
      <c r="X67" s="830">
        <f t="shared" si="64"/>
        <v>0</v>
      </c>
      <c r="Y67" s="830">
        <f t="shared" si="64"/>
        <v>0</v>
      </c>
      <c r="Z67" s="830">
        <f t="shared" si="64"/>
        <v>0</v>
      </c>
      <c r="AA67" s="830">
        <f t="shared" si="64"/>
        <v>0</v>
      </c>
      <c r="AB67" s="830">
        <f t="shared" si="64"/>
        <v>0</v>
      </c>
      <c r="AC67" s="830">
        <f t="shared" si="64"/>
        <v>0</v>
      </c>
      <c r="AD67" s="831">
        <f>SUM(D67:AC67)</f>
        <v>41.245614035087712</v>
      </c>
      <c r="AE67" s="832">
        <v>114</v>
      </c>
      <c r="AF67" s="970">
        <v>0</v>
      </c>
      <c r="AG67" s="990">
        <f>SUM(AE67:AF67)</f>
        <v>114</v>
      </c>
      <c r="AH67" s="980">
        <v>16</v>
      </c>
      <c r="AI67" s="833">
        <v>0</v>
      </c>
      <c r="AJ67" s="834">
        <v>0</v>
      </c>
    </row>
    <row r="68" spans="2:52" ht="48.6" customHeight="1" x14ac:dyDescent="0.3">
      <c r="B68" s="808" t="s">
        <v>551</v>
      </c>
      <c r="C68" s="769" t="s">
        <v>568</v>
      </c>
      <c r="D68" s="820">
        <v>0</v>
      </c>
      <c r="E68" s="767">
        <v>8</v>
      </c>
      <c r="F68" s="767">
        <v>0</v>
      </c>
      <c r="G68" s="767">
        <v>12</v>
      </c>
      <c r="H68" s="767" t="s">
        <v>523</v>
      </c>
      <c r="I68" s="767" t="s">
        <v>523</v>
      </c>
      <c r="J68" s="767" t="s">
        <v>523</v>
      </c>
      <c r="K68" s="767">
        <v>24</v>
      </c>
      <c r="L68" s="767">
        <v>4</v>
      </c>
      <c r="M68" s="767">
        <v>0</v>
      </c>
      <c r="N68" s="767">
        <v>0</v>
      </c>
      <c r="O68" s="767" t="s">
        <v>524</v>
      </c>
      <c r="P68" s="767">
        <v>8</v>
      </c>
      <c r="Q68" s="767">
        <v>2</v>
      </c>
      <c r="R68" s="767">
        <v>16</v>
      </c>
      <c r="S68" s="767">
        <v>4</v>
      </c>
      <c r="T68" s="767">
        <v>8</v>
      </c>
      <c r="U68" s="767">
        <v>4</v>
      </c>
      <c r="V68" s="767">
        <v>4</v>
      </c>
      <c r="W68" s="767">
        <v>1</v>
      </c>
      <c r="X68" s="767">
        <v>8</v>
      </c>
      <c r="Y68" s="767">
        <v>24</v>
      </c>
      <c r="Z68" s="767">
        <v>2</v>
      </c>
      <c r="AA68" s="767">
        <v>4</v>
      </c>
      <c r="AB68" s="767">
        <v>8</v>
      </c>
      <c r="AC68" s="767">
        <v>40</v>
      </c>
      <c r="AD68" s="821">
        <f>SUM(D68:AC68)</f>
        <v>181</v>
      </c>
      <c r="AE68" s="822"/>
      <c r="AF68" s="968"/>
      <c r="AG68" s="988"/>
      <c r="AH68" s="977"/>
      <c r="AI68" s="768"/>
      <c r="AJ68" s="796"/>
    </row>
    <row r="69" spans="2:52" x14ac:dyDescent="0.3">
      <c r="B69" s="765"/>
      <c r="C69" s="748" t="s">
        <v>442</v>
      </c>
      <c r="D69" s="823">
        <v>0</v>
      </c>
      <c r="E69" s="824">
        <v>1</v>
      </c>
      <c r="F69" s="824">
        <v>1</v>
      </c>
      <c r="G69" s="824">
        <v>1</v>
      </c>
      <c r="H69" s="824"/>
      <c r="I69" s="824"/>
      <c r="J69" s="824"/>
      <c r="K69" s="824"/>
      <c r="L69" s="824">
        <v>1</v>
      </c>
      <c r="M69" s="824">
        <v>0</v>
      </c>
      <c r="N69" s="824"/>
      <c r="O69" s="824"/>
      <c r="P69" s="824">
        <v>1</v>
      </c>
      <c r="Q69" s="824">
        <v>0</v>
      </c>
      <c r="R69" s="824">
        <f>AH70/AG70</f>
        <v>0</v>
      </c>
      <c r="S69" s="824">
        <f>1-R69</f>
        <v>1</v>
      </c>
      <c r="T69" s="824">
        <f>$R69</f>
        <v>0</v>
      </c>
      <c r="U69" s="824">
        <f>$S69</f>
        <v>1</v>
      </c>
      <c r="V69" s="824">
        <v>1</v>
      </c>
      <c r="W69" s="824">
        <f>AI70/AG70</f>
        <v>0</v>
      </c>
      <c r="X69" s="824">
        <v>0</v>
      </c>
      <c r="Y69" s="824">
        <f>W69</f>
        <v>0</v>
      </c>
      <c r="Z69" s="824">
        <f>AJ70/AG70</f>
        <v>0</v>
      </c>
      <c r="AA69" s="824">
        <f>$Z69</f>
        <v>0</v>
      </c>
      <c r="AB69" s="824">
        <f>$AA69</f>
        <v>0</v>
      </c>
      <c r="AC69" s="824">
        <f>$AA69</f>
        <v>0</v>
      </c>
      <c r="AD69" s="825"/>
      <c r="AE69" s="826"/>
      <c r="AF69" s="969"/>
      <c r="AG69" s="989"/>
      <c r="AH69" s="979"/>
      <c r="AI69" s="827"/>
      <c r="AJ69" s="828"/>
      <c r="AL69" s="252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</row>
    <row r="70" spans="2:52" x14ac:dyDescent="0.3">
      <c r="B70" s="251"/>
      <c r="C70" s="748" t="s">
        <v>534</v>
      </c>
      <c r="D70" s="829">
        <f>D68*D69</f>
        <v>0</v>
      </c>
      <c r="E70" s="830">
        <f t="shared" ref="E70:G70" si="65">E68*E69</f>
        <v>8</v>
      </c>
      <c r="F70" s="830">
        <f t="shared" si="65"/>
        <v>0</v>
      </c>
      <c r="G70" s="830">
        <f t="shared" si="65"/>
        <v>12</v>
      </c>
      <c r="H70" s="830"/>
      <c r="I70" s="830"/>
      <c r="J70" s="830"/>
      <c r="K70" s="830"/>
      <c r="L70" s="830">
        <f t="shared" ref="L70:M70" si="66">L68*L69</f>
        <v>4</v>
      </c>
      <c r="M70" s="830">
        <f t="shared" si="66"/>
        <v>0</v>
      </c>
      <c r="N70" s="830"/>
      <c r="O70" s="830"/>
      <c r="P70" s="830">
        <f t="shared" ref="P70:AC70" si="67">P68*P69</f>
        <v>8</v>
      </c>
      <c r="Q70" s="830">
        <f t="shared" si="67"/>
        <v>0</v>
      </c>
      <c r="R70" s="830">
        <f t="shared" si="67"/>
        <v>0</v>
      </c>
      <c r="S70" s="830">
        <f t="shared" si="67"/>
        <v>4</v>
      </c>
      <c r="T70" s="830">
        <f t="shared" si="67"/>
        <v>0</v>
      </c>
      <c r="U70" s="830">
        <f t="shared" si="67"/>
        <v>4</v>
      </c>
      <c r="V70" s="830">
        <f t="shared" si="67"/>
        <v>4</v>
      </c>
      <c r="W70" s="830">
        <f t="shared" si="67"/>
        <v>0</v>
      </c>
      <c r="X70" s="830">
        <f t="shared" si="67"/>
        <v>0</v>
      </c>
      <c r="Y70" s="830">
        <f t="shared" si="67"/>
        <v>0</v>
      </c>
      <c r="Z70" s="830">
        <f t="shared" si="67"/>
        <v>0</v>
      </c>
      <c r="AA70" s="830">
        <f t="shared" si="67"/>
        <v>0</v>
      </c>
      <c r="AB70" s="830">
        <f t="shared" si="67"/>
        <v>0</v>
      </c>
      <c r="AC70" s="830">
        <f t="shared" si="67"/>
        <v>0</v>
      </c>
      <c r="AD70" s="831">
        <f>SUM(D70:AC70)</f>
        <v>44</v>
      </c>
      <c r="AE70" s="832">
        <v>42</v>
      </c>
      <c r="AF70" s="970">
        <v>0</v>
      </c>
      <c r="AG70" s="990">
        <f>SUM(AE70:AF70)</f>
        <v>42</v>
      </c>
      <c r="AH70" s="980">
        <v>0</v>
      </c>
      <c r="AI70" s="833">
        <f>ROUND(89*AH70/AH$36,0)</f>
        <v>0</v>
      </c>
      <c r="AJ70" s="834">
        <v>0</v>
      </c>
      <c r="AL70" s="252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</row>
    <row r="71" spans="2:52" ht="15" thickBot="1" x14ac:dyDescent="0.35">
      <c r="B71" s="839"/>
      <c r="C71" s="840" t="s">
        <v>535</v>
      </c>
      <c r="D71" s="841"/>
      <c r="E71" s="841"/>
      <c r="F71" s="841"/>
      <c r="G71" s="842"/>
      <c r="H71" s="842"/>
      <c r="I71" s="842"/>
      <c r="J71" s="842"/>
      <c r="K71" s="842"/>
      <c r="L71" s="842"/>
      <c r="M71" s="842"/>
      <c r="N71" s="842"/>
      <c r="O71" s="842"/>
      <c r="P71" s="842"/>
      <c r="Q71" s="842"/>
      <c r="R71" s="842"/>
      <c r="S71" s="842"/>
      <c r="T71" s="842"/>
      <c r="U71" s="842"/>
      <c r="V71" s="842"/>
      <c r="W71" s="842"/>
      <c r="X71" s="842"/>
      <c r="Y71" s="842"/>
      <c r="Z71" s="842"/>
      <c r="AA71" s="842"/>
      <c r="AB71" s="842"/>
      <c r="AC71" s="842"/>
      <c r="AD71" s="843"/>
      <c r="AE71" s="844">
        <f>171-SUM(AE62:AE70)</f>
        <v>4</v>
      </c>
      <c r="AF71" s="971">
        <v>0</v>
      </c>
      <c r="AG71" s="991">
        <f>SUM(AE71:AF71)</f>
        <v>4</v>
      </c>
      <c r="AH71" s="981">
        <v>0</v>
      </c>
      <c r="AI71" s="845">
        <f>ROUND(89*AH71/AH$36,0)</f>
        <v>0</v>
      </c>
      <c r="AJ71" s="846">
        <v>0</v>
      </c>
      <c r="AL71" s="252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</row>
    <row r="72" spans="2:52" x14ac:dyDescent="0.3">
      <c r="B72" s="756" t="s">
        <v>460</v>
      </c>
      <c r="C72" s="757" t="s">
        <v>448</v>
      </c>
      <c r="D72" s="761">
        <f>D75*$AG75/($AG72-$AG76)</f>
        <v>0</v>
      </c>
      <c r="E72" s="761">
        <f>E75*$AG75/($AG72-$AG76)</f>
        <v>0</v>
      </c>
      <c r="F72" s="761">
        <f>F75*$AG75/($AG72-$AG76)</f>
        <v>0</v>
      </c>
      <c r="G72" s="760">
        <f>G75*$AG75/($AG72-$AG76)</f>
        <v>28</v>
      </c>
      <c r="H72" s="817"/>
      <c r="I72" s="817"/>
      <c r="J72" s="817"/>
      <c r="K72" s="817"/>
      <c r="L72" s="817"/>
      <c r="M72" s="761"/>
      <c r="N72" s="761">
        <f>N75*$AG75/($AG72-$AG76)</f>
        <v>0</v>
      </c>
      <c r="O72" s="761"/>
      <c r="P72" s="761">
        <f t="shared" ref="P72:AC72" si="68">P75*$AG75/($AG72-$AG76)</f>
        <v>3</v>
      </c>
      <c r="Q72" s="761">
        <f t="shared" si="68"/>
        <v>0</v>
      </c>
      <c r="R72" s="761">
        <f t="shared" si="68"/>
        <v>0</v>
      </c>
      <c r="S72" s="761">
        <f t="shared" si="68"/>
        <v>0</v>
      </c>
      <c r="T72" s="761">
        <f t="shared" si="68"/>
        <v>2.8489208633093526</v>
      </c>
      <c r="U72" s="761">
        <f t="shared" si="68"/>
        <v>0</v>
      </c>
      <c r="V72" s="761">
        <f t="shared" si="68"/>
        <v>0.5</v>
      </c>
      <c r="W72" s="761">
        <f t="shared" si="68"/>
        <v>0.83453237410071945</v>
      </c>
      <c r="X72" s="761">
        <f t="shared" si="68"/>
        <v>0</v>
      </c>
      <c r="Y72" s="761">
        <f t="shared" si="68"/>
        <v>5.0071942446043165</v>
      </c>
      <c r="Z72" s="761">
        <f t="shared" si="68"/>
        <v>4.4964028776978415E-2</v>
      </c>
      <c r="AA72" s="761">
        <f t="shared" si="68"/>
        <v>0.17985611510791366</v>
      </c>
      <c r="AB72" s="761">
        <f t="shared" si="68"/>
        <v>0</v>
      </c>
      <c r="AC72" s="761">
        <f t="shared" si="68"/>
        <v>60.431654676258994</v>
      </c>
      <c r="AD72" s="847">
        <f>SUM(D72:AC72)</f>
        <v>100.84712230215828</v>
      </c>
      <c r="AE72" s="848">
        <f t="shared" ref="AE72:AJ72" si="69">SUM(AE73:AE76)</f>
        <v>278</v>
      </c>
      <c r="AF72" s="973">
        <f t="shared" si="69"/>
        <v>0</v>
      </c>
      <c r="AG72" s="992">
        <f t="shared" si="69"/>
        <v>278</v>
      </c>
      <c r="AH72" s="982">
        <f t="shared" si="69"/>
        <v>99</v>
      </c>
      <c r="AI72" s="763">
        <f t="shared" si="69"/>
        <v>58</v>
      </c>
      <c r="AJ72" s="795">
        <f t="shared" si="69"/>
        <v>25</v>
      </c>
    </row>
    <row r="73" spans="2:52" ht="43.2" x14ac:dyDescent="0.3">
      <c r="B73" s="808" t="s">
        <v>552</v>
      </c>
      <c r="C73" s="769" t="s">
        <v>449</v>
      </c>
      <c r="D73" s="820">
        <v>0</v>
      </c>
      <c r="E73" s="767">
        <v>0</v>
      </c>
      <c r="F73" s="767">
        <v>0</v>
      </c>
      <c r="G73" s="767">
        <v>28</v>
      </c>
      <c r="H73" s="767" t="s">
        <v>523</v>
      </c>
      <c r="I73" s="767" t="s">
        <v>523</v>
      </c>
      <c r="J73" s="767" t="s">
        <v>523</v>
      </c>
      <c r="K73" s="767" t="s">
        <v>523</v>
      </c>
      <c r="L73" s="767" t="s">
        <v>523</v>
      </c>
      <c r="M73" s="767">
        <v>0</v>
      </c>
      <c r="N73" s="767" t="s">
        <v>523</v>
      </c>
      <c r="O73" s="767" t="s">
        <v>524</v>
      </c>
      <c r="P73" s="767">
        <v>3</v>
      </c>
      <c r="Q73" s="767">
        <v>0</v>
      </c>
      <c r="R73" s="767">
        <v>0</v>
      </c>
      <c r="S73" s="767">
        <v>0</v>
      </c>
      <c r="T73" s="767">
        <v>8</v>
      </c>
      <c r="U73" s="767">
        <v>0</v>
      </c>
      <c r="V73" s="767">
        <v>0.5</v>
      </c>
      <c r="W73" s="767">
        <v>4</v>
      </c>
      <c r="X73" s="767">
        <v>0</v>
      </c>
      <c r="Y73" s="767">
        <v>24</v>
      </c>
      <c r="Z73" s="767">
        <v>0.5</v>
      </c>
      <c r="AA73" s="767">
        <v>2</v>
      </c>
      <c r="AB73" s="767">
        <v>0</v>
      </c>
      <c r="AC73" s="767">
        <v>672</v>
      </c>
      <c r="AD73" s="821">
        <f>SUM(D73:AC73)</f>
        <v>742</v>
      </c>
      <c r="AE73" s="822"/>
      <c r="AF73" s="968"/>
      <c r="AG73" s="988"/>
      <c r="AH73" s="977"/>
      <c r="AI73" s="768"/>
      <c r="AJ73" s="796"/>
    </row>
    <row r="74" spans="2:52" x14ac:dyDescent="0.3">
      <c r="B74" s="765"/>
      <c r="C74" s="748" t="s">
        <v>442</v>
      </c>
      <c r="D74" s="823">
        <v>0</v>
      </c>
      <c r="E74" s="824">
        <v>0</v>
      </c>
      <c r="F74" s="824">
        <v>0</v>
      </c>
      <c r="G74" s="824">
        <v>1</v>
      </c>
      <c r="H74" s="824"/>
      <c r="I74" s="824"/>
      <c r="J74" s="824"/>
      <c r="K74" s="824"/>
      <c r="L74" s="824"/>
      <c r="M74" s="824">
        <v>0</v>
      </c>
      <c r="N74" s="824"/>
      <c r="O74" s="824"/>
      <c r="P74" s="824">
        <v>1</v>
      </c>
      <c r="Q74" s="824">
        <v>0</v>
      </c>
      <c r="R74" s="824">
        <f>AH75/AG75</f>
        <v>0.35611510791366907</v>
      </c>
      <c r="S74" s="824">
        <f>1-R74</f>
        <v>0.64388489208633093</v>
      </c>
      <c r="T74" s="824">
        <f>$R74</f>
        <v>0.35611510791366907</v>
      </c>
      <c r="U74" s="824">
        <f>$S74</f>
        <v>0.64388489208633093</v>
      </c>
      <c r="V74" s="824">
        <v>1</v>
      </c>
      <c r="W74" s="824">
        <f>AI75/AG75</f>
        <v>0.20863309352517986</v>
      </c>
      <c r="X74" s="824">
        <v>0</v>
      </c>
      <c r="Y74" s="824">
        <f>W74</f>
        <v>0.20863309352517986</v>
      </c>
      <c r="Z74" s="824">
        <f>AJ75/AG75</f>
        <v>8.9928057553956831E-2</v>
      </c>
      <c r="AA74" s="824">
        <f>$Z74</f>
        <v>8.9928057553956831E-2</v>
      </c>
      <c r="AB74" s="824">
        <f>$AA74</f>
        <v>8.9928057553956831E-2</v>
      </c>
      <c r="AC74" s="824">
        <f>$AA74</f>
        <v>8.9928057553956831E-2</v>
      </c>
      <c r="AD74" s="825"/>
      <c r="AE74" s="826"/>
      <c r="AF74" s="969"/>
      <c r="AG74" s="989"/>
      <c r="AH74" s="979"/>
      <c r="AI74" s="827"/>
      <c r="AJ74" s="828"/>
    </row>
    <row r="75" spans="2:52" x14ac:dyDescent="0.3">
      <c r="B75" s="251"/>
      <c r="C75" s="748" t="s">
        <v>534</v>
      </c>
      <c r="D75" s="829">
        <f>D73*D74</f>
        <v>0</v>
      </c>
      <c r="E75" s="830">
        <f t="shared" ref="E75:G75" si="70">E73*E74</f>
        <v>0</v>
      </c>
      <c r="F75" s="830">
        <f t="shared" si="70"/>
        <v>0</v>
      </c>
      <c r="G75" s="830">
        <f t="shared" si="70"/>
        <v>28</v>
      </c>
      <c r="H75" s="830"/>
      <c r="I75" s="830"/>
      <c r="J75" s="830"/>
      <c r="K75" s="830"/>
      <c r="L75" s="830"/>
      <c r="M75" s="830"/>
      <c r="N75" s="830"/>
      <c r="O75" s="830"/>
      <c r="P75" s="830">
        <f t="shared" ref="P75:AC75" si="71">P73*P74</f>
        <v>3</v>
      </c>
      <c r="Q75" s="830">
        <f t="shared" si="71"/>
        <v>0</v>
      </c>
      <c r="R75" s="830">
        <f t="shared" si="71"/>
        <v>0</v>
      </c>
      <c r="S75" s="830">
        <f t="shared" si="71"/>
        <v>0</v>
      </c>
      <c r="T75" s="830">
        <f t="shared" si="71"/>
        <v>2.8489208633093526</v>
      </c>
      <c r="U75" s="830">
        <f t="shared" si="71"/>
        <v>0</v>
      </c>
      <c r="V75" s="830">
        <f t="shared" si="71"/>
        <v>0.5</v>
      </c>
      <c r="W75" s="830">
        <f t="shared" si="71"/>
        <v>0.83453237410071945</v>
      </c>
      <c r="X75" s="830">
        <f t="shared" si="71"/>
        <v>0</v>
      </c>
      <c r="Y75" s="830">
        <f t="shared" si="71"/>
        <v>5.0071942446043165</v>
      </c>
      <c r="Z75" s="830">
        <f t="shared" si="71"/>
        <v>4.4964028776978415E-2</v>
      </c>
      <c r="AA75" s="830">
        <f t="shared" si="71"/>
        <v>0.17985611510791366</v>
      </c>
      <c r="AB75" s="830">
        <f t="shared" si="71"/>
        <v>0</v>
      </c>
      <c r="AC75" s="830">
        <f t="shared" si="71"/>
        <v>60.431654676258987</v>
      </c>
      <c r="AD75" s="831">
        <f>SUM(D75:AC75)</f>
        <v>100.84712230215827</v>
      </c>
      <c r="AE75" s="832">
        <v>278</v>
      </c>
      <c r="AF75" s="970">
        <v>0</v>
      </c>
      <c r="AG75" s="990">
        <f>SUM(AE75:AF75)</f>
        <v>278</v>
      </c>
      <c r="AH75" s="980">
        <v>99</v>
      </c>
      <c r="AI75" s="833">
        <v>58</v>
      </c>
      <c r="AJ75" s="834">
        <v>25</v>
      </c>
    </row>
    <row r="76" spans="2:52" x14ac:dyDescent="0.3">
      <c r="B76" s="849"/>
      <c r="C76" s="850" t="s">
        <v>535</v>
      </c>
      <c r="D76" s="851"/>
      <c r="E76" s="851"/>
      <c r="F76" s="851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2"/>
      <c r="X76" s="852"/>
      <c r="Y76" s="852"/>
      <c r="Z76" s="852"/>
      <c r="AA76" s="852"/>
      <c r="AB76" s="852"/>
      <c r="AC76" s="852"/>
      <c r="AD76" s="853"/>
      <c r="AE76" s="854">
        <f>278-SUM(AE73:AE75)</f>
        <v>0</v>
      </c>
      <c r="AF76" s="974">
        <v>0</v>
      </c>
      <c r="AG76" s="993">
        <f>SUM(AE76:AF76)</f>
        <v>0</v>
      </c>
      <c r="AH76" s="983">
        <v>0</v>
      </c>
      <c r="AI76" s="855">
        <f>ROUND(89*AH76/AH$36,0)</f>
        <v>0</v>
      </c>
      <c r="AJ76" s="856">
        <f>ROUND(20*AI76/AI$53,0)</f>
        <v>0</v>
      </c>
    </row>
    <row r="77" spans="2:52" ht="15" thickBot="1" x14ac:dyDescent="0.35">
      <c r="B77" s="778"/>
      <c r="C77" s="857"/>
      <c r="D77" s="858"/>
      <c r="E77" s="858"/>
      <c r="F77" s="858"/>
      <c r="G77" s="859"/>
      <c r="H77" s="859"/>
      <c r="I77" s="859"/>
      <c r="J77" s="859"/>
      <c r="K77" s="859"/>
      <c r="L77" s="860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61"/>
      <c r="AE77" s="862"/>
      <c r="AF77" s="975"/>
      <c r="AG77" s="994"/>
      <c r="AH77" s="984"/>
      <c r="AI77" s="863"/>
      <c r="AJ77" s="864"/>
    </row>
    <row r="78" spans="2:52" ht="15" thickBot="1" x14ac:dyDescent="0.35">
      <c r="B78" s="778"/>
      <c r="C78" s="773"/>
      <c r="D78" s="774"/>
      <c r="E78" s="774"/>
      <c r="F78" s="774"/>
      <c r="G78" s="775"/>
      <c r="H78" s="775"/>
      <c r="I78" s="775"/>
      <c r="J78" s="775"/>
      <c r="K78" s="775"/>
      <c r="L78" s="776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81"/>
      <c r="AE78" s="781"/>
      <c r="AF78" s="976"/>
      <c r="AG78" s="995"/>
      <c r="AH78" s="985"/>
      <c r="AI78" s="777"/>
      <c r="AJ78" s="779"/>
    </row>
    <row r="80" spans="2:52" x14ac:dyDescent="0.3">
      <c r="B80" t="s">
        <v>476</v>
      </c>
      <c r="AG80" s="799">
        <v>1387880.88</v>
      </c>
    </row>
    <row r="81" spans="2:51" x14ac:dyDescent="0.3">
      <c r="B81" t="s">
        <v>569</v>
      </c>
      <c r="AE81" s="798"/>
      <c r="AG81" s="799">
        <f>AG80/'Procesy - AS IS'!AG4</f>
        <v>521.95595336592703</v>
      </c>
      <c r="AH81" s="799">
        <f>AG80/'Procesy - AS IS'!AH4</f>
        <v>1542.0898666666665</v>
      </c>
      <c r="AI81" s="799">
        <f>AG80/'Procesy - AS IS'!AI4</f>
        <v>2376.5083561643833</v>
      </c>
      <c r="AJ81" s="799" t="s">
        <v>328</v>
      </c>
    </row>
    <row r="82" spans="2:51" x14ac:dyDescent="0.3">
      <c r="AD82" s="798"/>
      <c r="AF82" s="799"/>
      <c r="AG82" s="799"/>
      <c r="AH82" s="799"/>
      <c r="AI82" s="799"/>
      <c r="AY82"/>
    </row>
    <row r="83" spans="2:51" x14ac:dyDescent="0.3">
      <c r="B83" t="s">
        <v>523</v>
      </c>
      <c r="C83" t="s">
        <v>527</v>
      </c>
    </row>
    <row r="84" spans="2:51" x14ac:dyDescent="0.3">
      <c r="B84" t="s">
        <v>525</v>
      </c>
      <c r="C84" t="s">
        <v>528</v>
      </c>
    </row>
    <row r="85" spans="2:51" x14ac:dyDescent="0.3">
      <c r="B85" t="s">
        <v>524</v>
      </c>
      <c r="C85" t="s">
        <v>529</v>
      </c>
    </row>
    <row r="86" spans="2:51" x14ac:dyDescent="0.3">
      <c r="B86" t="s">
        <v>530</v>
      </c>
      <c r="C86" t="s">
        <v>531</v>
      </c>
    </row>
    <row r="94" spans="2:51" x14ac:dyDescent="0.3">
      <c r="B94" t="s">
        <v>450</v>
      </c>
    </row>
  </sheetData>
  <conditionalFormatting sqref="D78:AF78">
    <cfRule type="cellIs" dxfId="319" priority="127" operator="equal">
      <formula>"N"</formula>
    </cfRule>
    <cfRule type="cellIs" dxfId="318" priority="128" operator="equal">
      <formula>"A"</formula>
    </cfRule>
  </conditionalFormatting>
  <conditionalFormatting sqref="AC71:AE71 F71:AA71">
    <cfRule type="cellIs" dxfId="317" priority="15" operator="equal">
      <formula>"N"</formula>
    </cfRule>
    <cfRule type="cellIs" dxfId="316" priority="16" operator="equal">
      <formula>"A"</formula>
    </cfRule>
  </conditionalFormatting>
  <conditionalFormatting sqref="AB71">
    <cfRule type="cellIs" dxfId="315" priority="13" operator="equal">
      <formula>"N"</formula>
    </cfRule>
    <cfRule type="cellIs" dxfId="314" priority="14" operator="equal">
      <formula>"A"</formula>
    </cfRule>
  </conditionalFormatting>
  <conditionalFormatting sqref="D71">
    <cfRule type="cellIs" dxfId="313" priority="11" operator="equal">
      <formula>"N"</formula>
    </cfRule>
    <cfRule type="cellIs" dxfId="312" priority="12" operator="equal">
      <formula>"A"</formula>
    </cfRule>
  </conditionalFormatting>
  <conditionalFormatting sqref="E71">
    <cfRule type="cellIs" dxfId="311" priority="9" operator="equal">
      <formula>"N"</formula>
    </cfRule>
    <cfRule type="cellIs" dxfId="310" priority="10" operator="equal">
      <formula>"A"</formula>
    </cfRule>
  </conditionalFormatting>
  <conditionalFormatting sqref="AC76:AE76 F76:AA76">
    <cfRule type="cellIs" dxfId="309" priority="7" operator="equal">
      <formula>"N"</formula>
    </cfRule>
    <cfRule type="cellIs" dxfId="308" priority="8" operator="equal">
      <formula>"A"</formula>
    </cfRule>
  </conditionalFormatting>
  <conditionalFormatting sqref="D18:AB18 D77:AF77">
    <cfRule type="cellIs" dxfId="307" priority="43" operator="equal">
      <formula>"N"</formula>
    </cfRule>
    <cfRule type="cellIs" dxfId="306" priority="44" operator="equal">
      <formula>"A"</formula>
    </cfRule>
  </conditionalFormatting>
  <conditionalFormatting sqref="AC18:AE18">
    <cfRule type="cellIs" dxfId="305" priority="41" operator="equal">
      <formula>"N"</formula>
    </cfRule>
    <cfRule type="cellIs" dxfId="304" priority="42" operator="equal">
      <formula>"A"</formula>
    </cfRule>
  </conditionalFormatting>
  <conditionalFormatting sqref="D35">
    <cfRule type="cellIs" dxfId="303" priority="35" operator="equal">
      <formula>"N"</formula>
    </cfRule>
    <cfRule type="cellIs" dxfId="302" priority="36" operator="equal">
      <formula>"A"</formula>
    </cfRule>
  </conditionalFormatting>
  <conditionalFormatting sqref="E35">
    <cfRule type="cellIs" dxfId="301" priority="33" operator="equal">
      <formula>"N"</formula>
    </cfRule>
    <cfRule type="cellIs" dxfId="300" priority="34" operator="equal">
      <formula>"A"</formula>
    </cfRule>
  </conditionalFormatting>
  <conditionalFormatting sqref="AC35:AE35 F35:AA35">
    <cfRule type="cellIs" dxfId="299" priority="39" operator="equal">
      <formula>"N"</formula>
    </cfRule>
    <cfRule type="cellIs" dxfId="298" priority="40" operator="equal">
      <formula>"A"</formula>
    </cfRule>
  </conditionalFormatting>
  <conditionalFormatting sqref="AB35">
    <cfRule type="cellIs" dxfId="297" priority="37" operator="equal">
      <formula>"N"</formula>
    </cfRule>
    <cfRule type="cellIs" dxfId="296" priority="38" operator="equal">
      <formula>"A"</formula>
    </cfRule>
  </conditionalFormatting>
  <conditionalFormatting sqref="E52">
    <cfRule type="cellIs" dxfId="295" priority="25" operator="equal">
      <formula>"N"</formula>
    </cfRule>
    <cfRule type="cellIs" dxfId="294" priority="26" operator="equal">
      <formula>"A"</formula>
    </cfRule>
  </conditionalFormatting>
  <conditionalFormatting sqref="E60">
    <cfRule type="cellIs" dxfId="293" priority="17" operator="equal">
      <formula>"N"</formula>
    </cfRule>
    <cfRule type="cellIs" dxfId="292" priority="18" operator="equal">
      <formula>"A"</formula>
    </cfRule>
  </conditionalFormatting>
  <conditionalFormatting sqref="E76">
    <cfRule type="cellIs" dxfId="291" priority="1" operator="equal">
      <formula>"N"</formula>
    </cfRule>
    <cfRule type="cellIs" dxfId="290" priority="2" operator="equal">
      <formula>"A"</formula>
    </cfRule>
  </conditionalFormatting>
  <conditionalFormatting sqref="D52">
    <cfRule type="cellIs" dxfId="289" priority="27" operator="equal">
      <formula>"N"</formula>
    </cfRule>
    <cfRule type="cellIs" dxfId="288" priority="28" operator="equal">
      <formula>"A"</formula>
    </cfRule>
  </conditionalFormatting>
  <conditionalFormatting sqref="AC52:AE52 F52:AA52">
    <cfRule type="cellIs" dxfId="287" priority="31" operator="equal">
      <formula>"N"</formula>
    </cfRule>
    <cfRule type="cellIs" dxfId="286" priority="32" operator="equal">
      <formula>"A"</formula>
    </cfRule>
  </conditionalFormatting>
  <conditionalFormatting sqref="AB52">
    <cfRule type="cellIs" dxfId="285" priority="29" operator="equal">
      <formula>"N"</formula>
    </cfRule>
    <cfRule type="cellIs" dxfId="284" priority="30" operator="equal">
      <formula>"A"</formula>
    </cfRule>
  </conditionalFormatting>
  <conditionalFormatting sqref="D60">
    <cfRule type="cellIs" dxfId="283" priority="19" operator="equal">
      <formula>"N"</formula>
    </cfRule>
    <cfRule type="cellIs" dxfId="282" priority="20" operator="equal">
      <formula>"A"</formula>
    </cfRule>
  </conditionalFormatting>
  <conditionalFormatting sqref="AC60:AE60 F60:AA60">
    <cfRule type="cellIs" dxfId="281" priority="23" operator="equal">
      <formula>"N"</formula>
    </cfRule>
    <cfRule type="cellIs" dxfId="280" priority="24" operator="equal">
      <formula>"A"</formula>
    </cfRule>
  </conditionalFormatting>
  <conditionalFormatting sqref="AB60">
    <cfRule type="cellIs" dxfId="279" priority="21" operator="equal">
      <formula>"N"</formula>
    </cfRule>
    <cfRule type="cellIs" dxfId="278" priority="22" operator="equal">
      <formula>"A"</formula>
    </cfRule>
  </conditionalFormatting>
  <conditionalFormatting sqref="D76">
    <cfRule type="cellIs" dxfId="277" priority="3" operator="equal">
      <formula>"N"</formula>
    </cfRule>
    <cfRule type="cellIs" dxfId="276" priority="4" operator="equal">
      <formula>"A"</formula>
    </cfRule>
  </conditionalFormatting>
  <conditionalFormatting sqref="AB76">
    <cfRule type="cellIs" dxfId="275" priority="5" operator="equal">
      <formula>"N"</formula>
    </cfRule>
    <cfRule type="cellIs" dxfId="274" priority="6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10"/>
  <sheetViews>
    <sheetView showGridLines="0" zoomScale="60" zoomScaleNormal="60" zoomScaleSheetLayoutView="90" workbookViewId="0">
      <pane xSplit="3" ySplit="2" topLeftCell="Q261" activePane="bottomRight" state="frozen"/>
      <selection pane="topRight" activeCell="C1" sqref="C1"/>
      <selection pane="bottomLeft" activeCell="A3" sqref="A3"/>
      <selection pane="bottomRight" activeCell="A303" sqref="A303:XFD303"/>
    </sheetView>
  </sheetViews>
  <sheetFormatPr defaultColWidth="8.88671875" defaultRowHeight="14.4" outlineLevelRow="2" x14ac:dyDescent="0.3"/>
  <cols>
    <col min="2" max="2" width="21.44140625" customWidth="1"/>
    <col min="3" max="3" width="34.6640625" customWidth="1"/>
    <col min="4" max="4" width="14.33203125" style="247" customWidth="1"/>
    <col min="5" max="5" width="14.109375" style="247" customWidth="1"/>
    <col min="6" max="6" width="14.88671875" style="247" customWidth="1"/>
    <col min="7" max="8" width="16.6640625" style="247" customWidth="1"/>
    <col min="9" max="16" width="14.88671875" style="247" customWidth="1"/>
    <col min="17" max="17" width="17.109375" style="247" customWidth="1"/>
    <col min="18" max="22" width="14.88671875" style="247" customWidth="1"/>
    <col min="23" max="23" width="16.88671875" style="247" customWidth="1"/>
    <col min="24" max="30" width="14.88671875" style="247" customWidth="1"/>
    <col min="31" max="31" width="5.44140625" style="247" bestFit="1" customWidth="1"/>
    <col min="32" max="35" width="14.88671875" style="247" customWidth="1"/>
    <col min="36" max="50" width="8.44140625" style="247" customWidth="1"/>
  </cols>
  <sheetData>
    <row r="1" spans="2:51" ht="15" thickBot="1" x14ac:dyDescent="0.35">
      <c r="C1" s="247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</row>
    <row r="2" spans="2:51" s="747" customFormat="1" ht="77.400000000000006" customHeight="1" thickBot="1" x14ac:dyDescent="0.35">
      <c r="B2" s="250" t="s">
        <v>216</v>
      </c>
      <c r="C2" s="743" t="s">
        <v>433</v>
      </c>
      <c r="D2" s="744" t="str">
        <f>'Procesy - AS IS'!D2</f>
        <v>Prijatie oznámenia MZV</v>
      </c>
      <c r="E2" s="744" t="str">
        <f>'Procesy - AS IS'!E2</f>
        <v>Príprava na kontrolu pred vydaním poverenia</v>
      </c>
      <c r="F2" s="744" t="str">
        <f>'Procesy - AS IS'!F2</f>
        <v>Vystavenie poverenia</v>
      </c>
      <c r="G2" s="744" t="str">
        <f>'Procesy - AS IS'!G2</f>
        <v>Oboznámenie sa s predchádzajúcimi zisteniami</v>
      </c>
      <c r="H2" s="744" t="str">
        <f>'Procesy - AS IS'!H2</f>
        <v>Oboznámenie sa s výškou predchádzajúcich sankcií</v>
      </c>
      <c r="I2" s="744" t="str">
        <f>'Procesy - AS IS'!I2</f>
        <v>Oboznámenie sa s uhrádzaním sankcií</v>
      </c>
      <c r="J2" s="744" t="str">
        <f>'Procesy - AS IS'!J2</f>
        <v>Oboznámenie sa s plnením nápravných opatrení</v>
      </c>
      <c r="K2" s="744" t="str">
        <f>'Procesy - AS IS'!K2</f>
        <v>Zber externých údajov pri príprave kontroly</v>
      </c>
      <c r="L2" s="744" t="str">
        <f>'Procesy - AS IS'!L2</f>
        <v>Vypracovanie oznámenia o začatí kontroly</v>
      </c>
      <c r="M2" s="744" t="str">
        <f>'Procesy - AS IS'!M2</f>
        <v>Vypracovanie zoznamu požadovanej dokumentácie</v>
      </c>
      <c r="N2" s="744" t="str">
        <f>'Procesy - AS IS'!N2</f>
        <v>Vypracovanie zoznamu kontrolných otázok</v>
      </c>
      <c r="O2" s="744" t="str">
        <f>'Procesy - AS IS'!O2</f>
        <v>Administratívna príprava kontroly</v>
      </c>
      <c r="P2" s="744" t="str">
        <f>'Procesy - AS IS'!P2</f>
        <v>Uloženie dôkazov z ohliadky do spisu</v>
      </c>
      <c r="Q2" s="744" t="str">
        <f>'Procesy - AS IS'!Q2</f>
        <v>Vypracovanie zápisu z ohliadky / čiastkového / priebežného protokolu</v>
      </c>
      <c r="R2" s="744" t="str">
        <f>'Procesy - AS IS'!R2</f>
        <v>Vypracovanie výstupu z kontroly (protokol, správa)</v>
      </c>
      <c r="S2" s="744" t="str">
        <f>'Procesy - AS IS'!S2</f>
        <v>Vypracovanie výstupu z kontroly (záznam, správa)</v>
      </c>
      <c r="T2" s="744" t="str">
        <f>'Procesy - AS IS'!T2</f>
        <v>Vypracovanie stanoviska k pripomienkam kontrolovaného subjektu</v>
      </c>
      <c r="U2" s="744" t="str">
        <f>'Procesy - AS IS'!U2</f>
        <v>Vypracovanie zápisnice z prerokovania výstupu z kontroly</v>
      </c>
      <c r="V2" s="744" t="str">
        <f>'Procesy - AS IS'!V2</f>
        <v>Ukončenie spisu</v>
      </c>
      <c r="W2" s="744" t="str">
        <f>'Procesy - AS IS'!W2</f>
        <v>Vypracovanie a zaslanie oznámenia o začatí správneho konania</v>
      </c>
      <c r="X2" s="744" t="str">
        <f>'Procesy - AS IS'!X2</f>
        <v>Vypracovanie zápisnice z ústneho pojednávania</v>
      </c>
      <c r="Y2" s="744" t="str">
        <f>'Procesy - AS IS'!Y2</f>
        <v>Vypracovanie rozhodnutia o sankcii</v>
      </c>
      <c r="Z2" s="744" t="str">
        <f>'Procesy - AS IS'!Z2</f>
        <v>Vypracovanie upovedomenia o postúpení odvolania</v>
      </c>
      <c r="AA2" s="744" t="str">
        <f>'Procesy - AS IS'!AA2</f>
        <v>Žurnalizácia spisu</v>
      </c>
      <c r="AB2" s="809" t="str">
        <f>'Procesy - AS IS'!AB2</f>
        <v>Vypracovanie predkladacej správy k odvolaniu</v>
      </c>
      <c r="AC2" s="759" t="str">
        <f>'Procesy - AS IS'!AC2</f>
        <v>Vypracovanie rozhodnutia o odvolaní</v>
      </c>
      <c r="AD2" s="780" t="str">
        <f>'Procesy - AS IS'!AD2</f>
        <v>Trvanie spolu</v>
      </c>
      <c r="AE2" s="759" t="s">
        <v>553</v>
      </c>
      <c r="AF2" s="780" t="s">
        <v>326</v>
      </c>
      <c r="AG2" s="759" t="s">
        <v>439</v>
      </c>
      <c r="AH2" s="759" t="s">
        <v>440</v>
      </c>
      <c r="AI2" s="792" t="s">
        <v>441</v>
      </c>
      <c r="AJ2" s="740"/>
      <c r="AK2" s="21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</row>
    <row r="3" spans="2:51" x14ac:dyDescent="0.3">
      <c r="B3" s="754"/>
      <c r="C3" s="755"/>
      <c r="D3" s="761" t="s">
        <v>435</v>
      </c>
      <c r="E3" s="760" t="s">
        <v>435</v>
      </c>
      <c r="F3" s="760" t="s">
        <v>435</v>
      </c>
      <c r="G3" s="764" t="s">
        <v>435</v>
      </c>
      <c r="H3" s="764" t="s">
        <v>435</v>
      </c>
      <c r="I3" s="764" t="s">
        <v>435</v>
      </c>
      <c r="J3" s="764" t="s">
        <v>435</v>
      </c>
      <c r="K3" s="764" t="s">
        <v>435</v>
      </c>
      <c r="L3" s="764" t="s">
        <v>435</v>
      </c>
      <c r="M3" s="764" t="s">
        <v>435</v>
      </c>
      <c r="N3" s="764" t="s">
        <v>435</v>
      </c>
      <c r="O3" s="764" t="s">
        <v>435</v>
      </c>
      <c r="P3" s="764" t="s">
        <v>435</v>
      </c>
      <c r="Q3" s="764" t="s">
        <v>435</v>
      </c>
      <c r="R3" s="764" t="s">
        <v>435</v>
      </c>
      <c r="S3" s="764" t="s">
        <v>435</v>
      </c>
      <c r="T3" s="764" t="s">
        <v>435</v>
      </c>
      <c r="U3" s="764" t="s">
        <v>435</v>
      </c>
      <c r="V3" s="764" t="s">
        <v>435</v>
      </c>
      <c r="W3" s="764" t="s">
        <v>435</v>
      </c>
      <c r="X3" s="764" t="s">
        <v>435</v>
      </c>
      <c r="Y3" s="764" t="s">
        <v>435</v>
      </c>
      <c r="Z3" s="764" t="s">
        <v>435</v>
      </c>
      <c r="AA3" s="764" t="s">
        <v>435</v>
      </c>
      <c r="AB3" s="764" t="s">
        <v>435</v>
      </c>
      <c r="AC3" s="760" t="s">
        <v>435</v>
      </c>
      <c r="AD3" s="865" t="s">
        <v>435</v>
      </c>
      <c r="AE3" s="866"/>
      <c r="AF3" s="812"/>
      <c r="AG3" s="762"/>
      <c r="AH3" s="762"/>
      <c r="AI3" s="793"/>
      <c r="AK3" s="252"/>
      <c r="AL3" s="253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</row>
    <row r="4" spans="2:51" x14ac:dyDescent="0.3">
      <c r="B4" s="765" t="s">
        <v>161</v>
      </c>
      <c r="C4" s="788" t="s">
        <v>443</v>
      </c>
      <c r="D4" s="813">
        <f t="shared" ref="D4:AD4" si="0">D5*$AF5/$AF4+D64*$AF64/$AF4+D136*$AF136/$AF4+D208*$AF208/$AF4+D238*$AF238/$AF4+D282*$AF282/$AF4</f>
        <v>0</v>
      </c>
      <c r="E4" s="813">
        <f t="shared" si="0"/>
        <v>-0.13231761036937911</v>
      </c>
      <c r="F4" s="813">
        <f t="shared" si="0"/>
        <v>-9.6059858296005662E-2</v>
      </c>
      <c r="G4" s="813">
        <f t="shared" si="0"/>
        <v>-3.0278198205547753</v>
      </c>
      <c r="H4" s="813">
        <f t="shared" si="0"/>
        <v>0</v>
      </c>
      <c r="I4" s="813">
        <f t="shared" si="0"/>
        <v>0</v>
      </c>
      <c r="J4" s="813">
        <f t="shared" si="0"/>
        <v>0</v>
      </c>
      <c r="K4" s="813">
        <f t="shared" si="0"/>
        <v>0</v>
      </c>
      <c r="L4" s="813">
        <f t="shared" si="0"/>
        <v>-8.6427202025659178E-2</v>
      </c>
      <c r="M4" s="813">
        <f t="shared" si="0"/>
        <v>-0.15255912819108985</v>
      </c>
      <c r="N4" s="813">
        <f t="shared" si="0"/>
        <v>0</v>
      </c>
      <c r="O4" s="813">
        <f t="shared" si="0"/>
        <v>0</v>
      </c>
      <c r="P4" s="813">
        <f t="shared" si="0"/>
        <v>0</v>
      </c>
      <c r="Q4" s="813">
        <f t="shared" si="0"/>
        <v>0</v>
      </c>
      <c r="R4" s="813">
        <f t="shared" si="0"/>
        <v>-2.2037651203083959</v>
      </c>
      <c r="S4" s="813">
        <f t="shared" si="0"/>
        <v>-2.5736282775821433</v>
      </c>
      <c r="T4" s="813">
        <f t="shared" si="0"/>
        <v>-0.87669405684790969</v>
      </c>
      <c r="U4" s="813">
        <f t="shared" si="0"/>
        <v>-0.83044224128371991</v>
      </c>
      <c r="V4" s="813">
        <f t="shared" si="0"/>
        <v>-0.68340342696150447</v>
      </c>
      <c r="W4" s="813">
        <f t="shared" si="0"/>
        <v>-0.12684972945300257</v>
      </c>
      <c r="X4" s="813">
        <f t="shared" si="0"/>
        <v>0</v>
      </c>
      <c r="Y4" s="813">
        <f t="shared" si="0"/>
        <v>-0.92705736259602523</v>
      </c>
      <c r="Z4" s="813">
        <f t="shared" si="0"/>
        <v>-1.3131434628543848E-2</v>
      </c>
      <c r="AA4" s="813">
        <f t="shared" si="0"/>
        <v>-2.5682950307625484E-2</v>
      </c>
      <c r="AB4" s="813">
        <f t="shared" si="0"/>
        <v>-0.10024860804111389</v>
      </c>
      <c r="AC4" s="813">
        <f t="shared" si="0"/>
        <v>-1.651926066400413</v>
      </c>
      <c r="AD4" s="867">
        <f t="shared" si="0"/>
        <v>-41.982902323985201</v>
      </c>
      <c r="AE4" s="868">
        <f>-AF4/('Procesy - AS IS'!AG4+AF4)</f>
        <v>-0.20007369332976235</v>
      </c>
      <c r="AF4" s="869">
        <f>(AF5+AF64+AF136+AF208+AF238+AF282)*(1+AF$310)</f>
        <v>665.05620096220764</v>
      </c>
      <c r="AG4" s="870">
        <f>(AG5+AG64+AG136+AG208+AG238+AG282)*(1+AG$310)</f>
        <v>228.76562501970398</v>
      </c>
      <c r="AH4" s="870">
        <f>(AH5+AH64+AH136+AH208+AH238+AH282)*(1+AH$310)</f>
        <v>148.64710059302479</v>
      </c>
      <c r="AI4" s="871">
        <f>(AI5+AI64+AI136+AI208+AI238+AI282)</f>
        <v>24.54800942458829</v>
      </c>
      <c r="AK4" s="252"/>
      <c r="AL4" s="253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</row>
    <row r="5" spans="2:51" x14ac:dyDescent="0.3">
      <c r="B5" s="756" t="s">
        <v>455</v>
      </c>
      <c r="C5" s="757" t="s">
        <v>472</v>
      </c>
      <c r="D5" s="872">
        <f>D6*$AF6/($AF5-$AF63)+D21*$AF21/($AF5-$AF63)+D35*$AF35/($AF5-$AF63)+D49*$AF49/($AF5-$AF63)</f>
        <v>0</v>
      </c>
      <c r="E5" s="751">
        <f>E6*$AF6/($AF5-$AF63)+E21*$AF21/($AF5-$AF63)+E35*$AF35/($AF5-$AF63)+E49*$AF49/($AF5-$AF63)</f>
        <v>0</v>
      </c>
      <c r="F5" s="751">
        <f>F6*$AF6/($AF5-$AF63)+F21*$AF21/($AF5-$AF63)+F35*$AF35/($AF5-$AF63)+F49*$AF49/($AF5-$AF63)</f>
        <v>-9.0043910658857904E-2</v>
      </c>
      <c r="G5" s="752">
        <f>G6*$AF6/($AF5-$AF63)+G21*$AF21/($AF5-$AF63)+G35*$AF35/($AF5-$AF63)+G49*$AF49/($AF5-$AF63)</f>
        <v>-3.3921269767503408</v>
      </c>
      <c r="H5" s="753"/>
      <c r="I5" s="753"/>
      <c r="J5" s="753"/>
      <c r="K5" s="753"/>
      <c r="L5" s="753"/>
      <c r="M5" s="751"/>
      <c r="N5" s="752">
        <f>N6*$AF6/($AF5-$AF63)+N21*$AF21/($AF5-$AF63)+N35*$AF35/($AF5-$AF63)+N49*$AF49/($AF5-$AF63)</f>
        <v>0</v>
      </c>
      <c r="O5" s="752"/>
      <c r="P5" s="752">
        <f t="shared" ref="P5:AC5" si="1">P6*$AF6/($AF5-$AF63)+P21*$AF21/($AF5-$AF63)+P35*$AF35/($AF5-$AF63)+P49*$AF49/($AF5-$AF63)</f>
        <v>0</v>
      </c>
      <c r="Q5" s="752">
        <f t="shared" si="1"/>
        <v>0</v>
      </c>
      <c r="R5" s="752">
        <f t="shared" si="1"/>
        <v>-3.3236738419707246</v>
      </c>
      <c r="S5" s="752">
        <f t="shared" si="1"/>
        <v>-3.535794933091823</v>
      </c>
      <c r="T5" s="751">
        <f t="shared" si="1"/>
        <v>-0.94788965386577229</v>
      </c>
      <c r="U5" s="751">
        <f t="shared" si="1"/>
        <v>-1.1635945022152432</v>
      </c>
      <c r="V5" s="751">
        <f t="shared" si="1"/>
        <v>-1.9183949769550437</v>
      </c>
      <c r="W5" s="751">
        <f t="shared" si="1"/>
        <v>-0.2992435662193344</v>
      </c>
      <c r="X5" s="751">
        <f t="shared" si="1"/>
        <v>0</v>
      </c>
      <c r="Y5" s="751">
        <f t="shared" si="1"/>
        <v>-1.4363691178528053</v>
      </c>
      <c r="Z5" s="751">
        <f t="shared" si="1"/>
        <v>-2.4860145811404503E-2</v>
      </c>
      <c r="AA5" s="751">
        <f t="shared" si="1"/>
        <v>-2.175262758497894E-2</v>
      </c>
      <c r="AB5" s="751">
        <f t="shared" si="1"/>
        <v>-0.15537591132127812</v>
      </c>
      <c r="AC5" s="751">
        <f t="shared" si="1"/>
        <v>-0.42436937585869733</v>
      </c>
      <c r="AD5" s="873">
        <f>SUM(AD6:AD63)</f>
        <v>-68.006383683336892</v>
      </c>
      <c r="AE5" s="874">
        <f>-SUM(AF6:AF62)/('Procesy - AS IS'!AG5+SUM(AF6:AF62))</f>
        <v>-0.19565612203396796</v>
      </c>
      <c r="AF5" s="875">
        <f>SUM(AF6:AF63)</f>
        <v>146.43610611209607</v>
      </c>
      <c r="AG5" s="876">
        <f>SUM(AG6:AG63)</f>
        <v>60.833071933020598</v>
      </c>
      <c r="AH5" s="877">
        <f>SUM(AH6:AH63)</f>
        <v>43.528899409503964</v>
      </c>
      <c r="AI5" s="878">
        <f>SUM(AI6:AI63)</f>
        <v>4.5202926164879651</v>
      </c>
      <c r="AK5" s="252"/>
      <c r="AL5" s="253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</row>
    <row r="6" spans="2:51" ht="36" customHeight="1" x14ac:dyDescent="0.3">
      <c r="B6" s="808" t="str">
        <f>'Procesy - AS IS'!B6</f>
        <v>Meranie č. 1</v>
      </c>
      <c r="C6" s="769" t="str">
        <f>'Procesy - AS IS'!$C$6</f>
        <v>AUTOGRAND, a.s., Zaobchádzanie so znečisťujúcimi látkami, 1045/2017</v>
      </c>
      <c r="D6" s="820">
        <f>-'Procesy - AS IS'!D8*'Procesy - ∆'!D20</f>
        <v>0</v>
      </c>
      <c r="E6" s="767">
        <f>-'Procesy - AS IS'!E8*'Procesy - ∆'!E20</f>
        <v>0</v>
      </c>
      <c r="F6" s="767">
        <f>-'Procesy - AS IS'!F8*'Procesy - ∆'!F20</f>
        <v>0</v>
      </c>
      <c r="G6" s="767">
        <f>-'Procesy - AS IS'!G8*'Procesy - ∆'!G20</f>
        <v>-3</v>
      </c>
      <c r="H6" s="767" t="s">
        <v>523</v>
      </c>
      <c r="I6" s="767" t="s">
        <v>523</v>
      </c>
      <c r="J6" s="767" t="s">
        <v>523</v>
      </c>
      <c r="K6" s="767" t="s">
        <v>523</v>
      </c>
      <c r="L6" s="767" t="s">
        <v>523</v>
      </c>
      <c r="M6" s="767" t="s">
        <v>523</v>
      </c>
      <c r="N6" s="767">
        <f>-'Procesy - AS IS'!N8*'Procesy - ∆'!N20</f>
        <v>0</v>
      </c>
      <c r="O6" s="767" t="s">
        <v>524</v>
      </c>
      <c r="P6" s="767">
        <f>-'Procesy - AS IS'!P8*'Procesy - ∆'!P20</f>
        <v>0</v>
      </c>
      <c r="Q6" s="767">
        <f>-'Procesy - AS IS'!Q8*'Procesy - ∆'!Q20</f>
        <v>0</v>
      </c>
      <c r="R6" s="767">
        <f>-'Procesy - AS IS'!R8*'Procesy - ∆'!R20</f>
        <v>-1.7632653061224492</v>
      </c>
      <c r="S6" s="767">
        <f>-'Procesy - AS IS'!S8*'Procesy - ∆'!S20</f>
        <v>-3.0367346938775515</v>
      </c>
      <c r="T6" s="767">
        <f>-'Procesy - AS IS'!T8*'Procesy - ∆'!T20</f>
        <v>-1.1755102040816328</v>
      </c>
      <c r="U6" s="767">
        <f>-'Procesy - AS IS'!U8*'Procesy - ∆'!U20</f>
        <v>-1.2653061224489797</v>
      </c>
      <c r="V6" s="767">
        <f>-'Procesy - AS IS'!V8*'Procesy - ∆'!V20</f>
        <v>-2.8</v>
      </c>
      <c r="W6" s="767">
        <f>-'Procesy - AS IS'!W8*'Procesy - ∆'!W20</f>
        <v>-0.25510204081632654</v>
      </c>
      <c r="X6" s="767">
        <f>-'Procesy - AS IS'!X8*'Procesy - ∆'!X20</f>
        <v>0</v>
      </c>
      <c r="Y6" s="767">
        <f>-'Procesy - AS IS'!Y8*'Procesy - ∆'!Y20</f>
        <v>-1.2244897959183676</v>
      </c>
      <c r="Z6" s="767">
        <f>-'Procesy - AS IS'!Z8*'Procesy - ∆'!Z20</f>
        <v>-4.0816326530612249E-2</v>
      </c>
      <c r="AA6" s="767">
        <f>-'Procesy - AS IS'!AA8*'Procesy - ∆'!AA20</f>
        <v>-3.5714285714285712E-2</v>
      </c>
      <c r="AB6" s="767">
        <f>-'Procesy - AS IS'!AB8*'Procesy - ∆'!AB20</f>
        <v>-0.25510204081632654</v>
      </c>
      <c r="AC6" s="767">
        <f>-'Procesy - AS IS'!AC8*'Procesy - ∆'!AC20</f>
        <v>-0.7142857142857143</v>
      </c>
      <c r="AD6" s="879">
        <f>SUM(D6:AC6)</f>
        <v>-15.566326530612248</v>
      </c>
      <c r="AE6" s="880">
        <f>AD6/'Procesy - AS IS'!AD8</f>
        <v>-0.18922103696353265</v>
      </c>
      <c r="AF6" s="881">
        <f>'Procesy - AS IS'!AG8/(1+$AE6)-'Procesy - AS IS'!AG8</f>
        <v>45.742828730972235</v>
      </c>
      <c r="AG6" s="882">
        <f>'Procesy - AS IS'!AH8/(1+$AE6)-'Procesy - AS IS'!AH8</f>
        <v>16.803488105255113</v>
      </c>
      <c r="AH6" s="877">
        <f>'Procesy - AS IS'!AI8/(1+$AE6)-'Procesy - AS IS'!AI8</f>
        <v>11.669088961982716</v>
      </c>
      <c r="AI6" s="878">
        <f>'Procesy - AS IS'!AJ8/(1+$AE6)-'Procesy - AS IS'!AJ8</f>
        <v>2.3338177923965429</v>
      </c>
      <c r="AK6" s="252"/>
      <c r="AL6" s="255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</row>
    <row r="7" spans="2:51" x14ac:dyDescent="0.3">
      <c r="B7" s="1150" t="s">
        <v>451</v>
      </c>
      <c r="C7" s="766" t="s">
        <v>409</v>
      </c>
      <c r="D7" s="771" t="s">
        <v>453</v>
      </c>
      <c r="E7" s="772" t="s">
        <v>453</v>
      </c>
      <c r="F7" s="772" t="s">
        <v>453</v>
      </c>
      <c r="G7" s="772" t="s">
        <v>452</v>
      </c>
      <c r="H7" s="772"/>
      <c r="I7" s="772"/>
      <c r="J7" s="772"/>
      <c r="K7" s="772"/>
      <c r="L7" s="772"/>
      <c r="M7" s="772"/>
      <c r="N7" s="772" t="s">
        <v>453</v>
      </c>
      <c r="O7" s="772"/>
      <c r="P7" s="772" t="s">
        <v>453</v>
      </c>
      <c r="Q7" s="772" t="str">
        <f t="shared" ref="Q7:Q20" si="2">G7</f>
        <v>A</v>
      </c>
      <c r="R7" s="772" t="s">
        <v>452</v>
      </c>
      <c r="S7" s="772" t="str">
        <f t="shared" ref="S7:S20" si="3">R7</f>
        <v>A</v>
      </c>
      <c r="T7" s="772" t="str">
        <f t="shared" ref="T7:T20" si="4">R7</f>
        <v>A</v>
      </c>
      <c r="U7" s="772" t="str">
        <f t="shared" ref="U7:U20" si="5">G7</f>
        <v>A</v>
      </c>
      <c r="V7" s="772" t="s">
        <v>452</v>
      </c>
      <c r="W7" s="772" t="str">
        <f t="shared" ref="W7:W20" si="6">G7</f>
        <v>A</v>
      </c>
      <c r="X7" s="772" t="str">
        <f t="shared" ref="X7:X20" si="7">G7</f>
        <v>A</v>
      </c>
      <c r="Y7" s="772" t="str">
        <f t="shared" ref="Y7:Y20" si="8">R7</f>
        <v>A</v>
      </c>
      <c r="Z7" s="772" t="str">
        <f t="shared" ref="Z7:Z20" si="9">R7</f>
        <v>A</v>
      </c>
      <c r="AA7" s="772" t="str">
        <f t="shared" ref="AA7:AA20" si="10">$V7</f>
        <v>A</v>
      </c>
      <c r="AB7" s="772" t="str">
        <f t="shared" ref="AB7:AB20" si="11">G7</f>
        <v>A</v>
      </c>
      <c r="AC7" s="772" t="str">
        <f t="shared" ref="AC7:AC20" si="12">U7</f>
        <v>A</v>
      </c>
      <c r="AD7" s="883"/>
      <c r="AE7" s="884"/>
      <c r="AF7" s="885"/>
      <c r="AG7" s="886"/>
      <c r="AH7" s="887"/>
      <c r="AI7" s="888"/>
      <c r="AK7" s="252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</row>
    <row r="8" spans="2:51" x14ac:dyDescent="0.3">
      <c r="B8" s="1151"/>
      <c r="C8" s="766" t="s">
        <v>411</v>
      </c>
      <c r="D8" s="889" t="s">
        <v>453</v>
      </c>
      <c r="E8" s="890" t="s">
        <v>453</v>
      </c>
      <c r="F8" s="890" t="s">
        <v>453</v>
      </c>
      <c r="G8" s="890" t="s">
        <v>453</v>
      </c>
      <c r="H8" s="890"/>
      <c r="I8" s="890"/>
      <c r="J8" s="890"/>
      <c r="K8" s="890"/>
      <c r="L8" s="890"/>
      <c r="M8" s="890"/>
      <c r="N8" s="890" t="s">
        <v>453</v>
      </c>
      <c r="O8" s="890"/>
      <c r="P8" s="890" t="s">
        <v>453</v>
      </c>
      <c r="Q8" s="890" t="str">
        <f t="shared" si="2"/>
        <v>N</v>
      </c>
      <c r="R8" s="890" t="s">
        <v>453</v>
      </c>
      <c r="S8" s="890" t="str">
        <f t="shared" si="3"/>
        <v>N</v>
      </c>
      <c r="T8" s="890" t="str">
        <f t="shared" si="4"/>
        <v>N</v>
      </c>
      <c r="U8" s="890" t="str">
        <f t="shared" si="5"/>
        <v>N</v>
      </c>
      <c r="V8" s="890" t="s">
        <v>453</v>
      </c>
      <c r="W8" s="890" t="str">
        <f t="shared" si="6"/>
        <v>N</v>
      </c>
      <c r="X8" s="890" t="str">
        <f t="shared" si="7"/>
        <v>N</v>
      </c>
      <c r="Y8" s="890" t="str">
        <f t="shared" si="8"/>
        <v>N</v>
      </c>
      <c r="Z8" s="890" t="str">
        <f t="shared" si="9"/>
        <v>N</v>
      </c>
      <c r="AA8" s="890" t="str">
        <f t="shared" si="10"/>
        <v>N</v>
      </c>
      <c r="AB8" s="890" t="str">
        <f t="shared" si="11"/>
        <v>N</v>
      </c>
      <c r="AC8" s="890" t="str">
        <f t="shared" si="12"/>
        <v>N</v>
      </c>
      <c r="AD8" s="891"/>
      <c r="AE8" s="884"/>
      <c r="AF8" s="885"/>
      <c r="AG8" s="886"/>
      <c r="AH8" s="887"/>
      <c r="AI8" s="888"/>
    </row>
    <row r="9" spans="2:51" x14ac:dyDescent="0.3">
      <c r="B9" s="1151"/>
      <c r="C9" s="766" t="s">
        <v>413</v>
      </c>
      <c r="D9" s="889" t="s">
        <v>453</v>
      </c>
      <c r="E9" s="890" t="s">
        <v>453</v>
      </c>
      <c r="F9" s="890" t="s">
        <v>453</v>
      </c>
      <c r="G9" s="890" t="s">
        <v>453</v>
      </c>
      <c r="H9" s="890"/>
      <c r="I9" s="890"/>
      <c r="J9" s="890"/>
      <c r="K9" s="890"/>
      <c r="L9" s="890"/>
      <c r="M9" s="890"/>
      <c r="N9" s="890" t="s">
        <v>453</v>
      </c>
      <c r="O9" s="890"/>
      <c r="P9" s="890" t="s">
        <v>453</v>
      </c>
      <c r="Q9" s="890" t="str">
        <f t="shared" si="2"/>
        <v>N</v>
      </c>
      <c r="R9" s="890" t="s">
        <v>453</v>
      </c>
      <c r="S9" s="890" t="str">
        <f t="shared" si="3"/>
        <v>N</v>
      </c>
      <c r="T9" s="890" t="str">
        <f t="shared" si="4"/>
        <v>N</v>
      </c>
      <c r="U9" s="890" t="str">
        <f t="shared" si="5"/>
        <v>N</v>
      </c>
      <c r="V9" s="890" t="s">
        <v>453</v>
      </c>
      <c r="W9" s="890" t="str">
        <f t="shared" si="6"/>
        <v>N</v>
      </c>
      <c r="X9" s="890" t="str">
        <f t="shared" si="7"/>
        <v>N</v>
      </c>
      <c r="Y9" s="890" t="str">
        <f t="shared" si="8"/>
        <v>N</v>
      </c>
      <c r="Z9" s="890" t="str">
        <f t="shared" si="9"/>
        <v>N</v>
      </c>
      <c r="AA9" s="890" t="str">
        <f t="shared" si="10"/>
        <v>N</v>
      </c>
      <c r="AB9" s="890" t="str">
        <f t="shared" si="11"/>
        <v>N</v>
      </c>
      <c r="AC9" s="890" t="str">
        <f t="shared" si="12"/>
        <v>N</v>
      </c>
      <c r="AD9" s="891"/>
      <c r="AE9" s="884"/>
      <c r="AF9" s="885"/>
      <c r="AG9" s="886"/>
      <c r="AH9" s="887"/>
      <c r="AI9" s="888"/>
    </row>
    <row r="10" spans="2:51" x14ac:dyDescent="0.3">
      <c r="B10" s="1151"/>
      <c r="C10" s="766" t="s">
        <v>415</v>
      </c>
      <c r="D10" s="892" t="s">
        <v>453</v>
      </c>
      <c r="E10" s="890" t="s">
        <v>453</v>
      </c>
      <c r="F10" s="890" t="s">
        <v>453</v>
      </c>
      <c r="G10" s="890" t="s">
        <v>453</v>
      </c>
      <c r="H10" s="890"/>
      <c r="I10" s="890"/>
      <c r="J10" s="890"/>
      <c r="K10" s="890"/>
      <c r="L10" s="890"/>
      <c r="M10" s="890"/>
      <c r="N10" s="890" t="s">
        <v>453</v>
      </c>
      <c r="O10" s="890"/>
      <c r="P10" s="890" t="s">
        <v>453</v>
      </c>
      <c r="Q10" s="890" t="str">
        <f t="shared" si="2"/>
        <v>N</v>
      </c>
      <c r="R10" s="890" t="s">
        <v>453</v>
      </c>
      <c r="S10" s="890" t="str">
        <f t="shared" si="3"/>
        <v>N</v>
      </c>
      <c r="T10" s="890" t="str">
        <f t="shared" si="4"/>
        <v>N</v>
      </c>
      <c r="U10" s="890" t="str">
        <f t="shared" si="5"/>
        <v>N</v>
      </c>
      <c r="V10" s="890" t="s">
        <v>453</v>
      </c>
      <c r="W10" s="890" t="str">
        <f t="shared" si="6"/>
        <v>N</v>
      </c>
      <c r="X10" s="890" t="str">
        <f t="shared" si="7"/>
        <v>N</v>
      </c>
      <c r="Y10" s="890" t="str">
        <f t="shared" si="8"/>
        <v>N</v>
      </c>
      <c r="Z10" s="890" t="str">
        <f t="shared" si="9"/>
        <v>N</v>
      </c>
      <c r="AA10" s="890" t="str">
        <f t="shared" si="10"/>
        <v>N</v>
      </c>
      <c r="AB10" s="890" t="str">
        <f t="shared" si="11"/>
        <v>N</v>
      </c>
      <c r="AC10" s="890" t="str">
        <f t="shared" si="12"/>
        <v>N</v>
      </c>
      <c r="AD10" s="891"/>
      <c r="AE10" s="884"/>
      <c r="AF10" s="885"/>
      <c r="AG10" s="886"/>
      <c r="AH10" s="887"/>
      <c r="AI10" s="888"/>
    </row>
    <row r="11" spans="2:51" x14ac:dyDescent="0.3">
      <c r="B11" s="1151"/>
      <c r="C11" s="766" t="s">
        <v>417</v>
      </c>
      <c r="D11" s="892" t="s">
        <v>453</v>
      </c>
      <c r="E11" s="890" t="s">
        <v>453</v>
      </c>
      <c r="F11" s="890" t="s">
        <v>453</v>
      </c>
      <c r="G11" s="890" t="s">
        <v>452</v>
      </c>
      <c r="H11" s="890"/>
      <c r="I11" s="890"/>
      <c r="J11" s="890"/>
      <c r="K11" s="890"/>
      <c r="L11" s="890"/>
      <c r="M11" s="890"/>
      <c r="N11" s="890" t="s">
        <v>453</v>
      </c>
      <c r="O11" s="890"/>
      <c r="P11" s="890" t="s">
        <v>453</v>
      </c>
      <c r="Q11" s="890" t="str">
        <f t="shared" si="2"/>
        <v>A</v>
      </c>
      <c r="R11" s="890" t="s">
        <v>452</v>
      </c>
      <c r="S11" s="890" t="str">
        <f t="shared" si="3"/>
        <v>A</v>
      </c>
      <c r="T11" s="890" t="str">
        <f t="shared" si="4"/>
        <v>A</v>
      </c>
      <c r="U11" s="890" t="str">
        <f t="shared" si="5"/>
        <v>A</v>
      </c>
      <c r="V11" s="890" t="s">
        <v>452</v>
      </c>
      <c r="W11" s="890" t="str">
        <f t="shared" si="6"/>
        <v>A</v>
      </c>
      <c r="X11" s="890" t="str">
        <f t="shared" si="7"/>
        <v>A</v>
      </c>
      <c r="Y11" s="890" t="str">
        <f t="shared" si="8"/>
        <v>A</v>
      </c>
      <c r="Z11" s="890" t="str">
        <f t="shared" si="9"/>
        <v>A</v>
      </c>
      <c r="AA11" s="890" t="str">
        <f t="shared" si="10"/>
        <v>A</v>
      </c>
      <c r="AB11" s="890" t="str">
        <f t="shared" si="11"/>
        <v>A</v>
      </c>
      <c r="AC11" s="890" t="str">
        <f t="shared" si="12"/>
        <v>A</v>
      </c>
      <c r="AD11" s="891"/>
      <c r="AE11" s="884"/>
      <c r="AF11" s="885"/>
      <c r="AG11" s="886"/>
      <c r="AH11" s="887"/>
      <c r="AI11" s="888"/>
    </row>
    <row r="12" spans="2:51" x14ac:dyDescent="0.3">
      <c r="B12" s="1151"/>
      <c r="C12" s="766" t="s">
        <v>419</v>
      </c>
      <c r="D12" s="892" t="s">
        <v>453</v>
      </c>
      <c r="E12" s="890" t="s">
        <v>453</v>
      </c>
      <c r="F12" s="890" t="s">
        <v>453</v>
      </c>
      <c r="G12" s="890" t="s">
        <v>452</v>
      </c>
      <c r="H12" s="890"/>
      <c r="I12" s="890"/>
      <c r="J12" s="890"/>
      <c r="K12" s="890"/>
      <c r="L12" s="890"/>
      <c r="M12" s="890"/>
      <c r="N12" s="890" t="s">
        <v>453</v>
      </c>
      <c r="O12" s="890"/>
      <c r="P12" s="890" t="s">
        <v>453</v>
      </c>
      <c r="Q12" s="890" t="str">
        <f t="shared" si="2"/>
        <v>A</v>
      </c>
      <c r="R12" s="890" t="s">
        <v>452</v>
      </c>
      <c r="S12" s="890" t="str">
        <f t="shared" si="3"/>
        <v>A</v>
      </c>
      <c r="T12" s="890" t="str">
        <f t="shared" si="4"/>
        <v>A</v>
      </c>
      <c r="U12" s="890" t="str">
        <f t="shared" si="5"/>
        <v>A</v>
      </c>
      <c r="V12" s="890" t="s">
        <v>452</v>
      </c>
      <c r="W12" s="890" t="str">
        <f t="shared" si="6"/>
        <v>A</v>
      </c>
      <c r="X12" s="890" t="str">
        <f t="shared" si="7"/>
        <v>A</v>
      </c>
      <c r="Y12" s="890" t="str">
        <f t="shared" si="8"/>
        <v>A</v>
      </c>
      <c r="Z12" s="890" t="str">
        <f t="shared" si="9"/>
        <v>A</v>
      </c>
      <c r="AA12" s="890" t="str">
        <f t="shared" si="10"/>
        <v>A</v>
      </c>
      <c r="AB12" s="890" t="str">
        <f t="shared" si="11"/>
        <v>A</v>
      </c>
      <c r="AC12" s="890" t="str">
        <f t="shared" si="12"/>
        <v>A</v>
      </c>
      <c r="AD12" s="891"/>
      <c r="AE12" s="884"/>
      <c r="AF12" s="885"/>
      <c r="AG12" s="886"/>
      <c r="AH12" s="887"/>
      <c r="AI12" s="888"/>
    </row>
    <row r="13" spans="2:51" x14ac:dyDescent="0.3">
      <c r="B13" s="1151"/>
      <c r="C13" s="766" t="s">
        <v>421</v>
      </c>
      <c r="D13" s="892" t="s">
        <v>453</v>
      </c>
      <c r="E13" s="890" t="s">
        <v>453</v>
      </c>
      <c r="F13" s="890" t="s">
        <v>453</v>
      </c>
      <c r="G13" s="890" t="s">
        <v>452</v>
      </c>
      <c r="H13" s="890"/>
      <c r="I13" s="890"/>
      <c r="J13" s="890"/>
      <c r="K13" s="890"/>
      <c r="L13" s="890"/>
      <c r="M13" s="890"/>
      <c r="N13" s="890" t="s">
        <v>453</v>
      </c>
      <c r="O13" s="890"/>
      <c r="P13" s="890" t="s">
        <v>453</v>
      </c>
      <c r="Q13" s="890" t="str">
        <f t="shared" si="2"/>
        <v>A</v>
      </c>
      <c r="R13" s="890" t="s">
        <v>453</v>
      </c>
      <c r="S13" s="890" t="str">
        <f t="shared" si="3"/>
        <v>N</v>
      </c>
      <c r="T13" s="890" t="str">
        <f t="shared" si="4"/>
        <v>N</v>
      </c>
      <c r="U13" s="890" t="str">
        <f t="shared" si="5"/>
        <v>A</v>
      </c>
      <c r="V13" s="890" t="s">
        <v>452</v>
      </c>
      <c r="W13" s="890" t="str">
        <f t="shared" si="6"/>
        <v>A</v>
      </c>
      <c r="X13" s="890" t="str">
        <f t="shared" si="7"/>
        <v>A</v>
      </c>
      <c r="Y13" s="890" t="str">
        <f t="shared" si="8"/>
        <v>N</v>
      </c>
      <c r="Z13" s="890" t="str">
        <f t="shared" si="9"/>
        <v>N</v>
      </c>
      <c r="AA13" s="890" t="str">
        <f t="shared" si="10"/>
        <v>A</v>
      </c>
      <c r="AB13" s="890" t="str">
        <f t="shared" si="11"/>
        <v>A</v>
      </c>
      <c r="AC13" s="890" t="str">
        <f t="shared" si="12"/>
        <v>A</v>
      </c>
      <c r="AD13" s="891"/>
      <c r="AE13" s="884"/>
      <c r="AF13" s="885"/>
      <c r="AG13" s="886"/>
      <c r="AH13" s="887"/>
      <c r="AI13" s="888"/>
    </row>
    <row r="14" spans="2:51" x14ac:dyDescent="0.3">
      <c r="B14" s="1151"/>
      <c r="C14" s="766" t="s">
        <v>423</v>
      </c>
      <c r="D14" s="892" t="s">
        <v>453</v>
      </c>
      <c r="E14" s="890" t="s">
        <v>453</v>
      </c>
      <c r="F14" s="890" t="s">
        <v>453</v>
      </c>
      <c r="G14" s="890" t="s">
        <v>452</v>
      </c>
      <c r="H14" s="890"/>
      <c r="I14" s="890"/>
      <c r="J14" s="890"/>
      <c r="K14" s="890"/>
      <c r="L14" s="890"/>
      <c r="M14" s="890"/>
      <c r="N14" s="890" t="s">
        <v>453</v>
      </c>
      <c r="O14" s="890"/>
      <c r="P14" s="890" t="s">
        <v>453</v>
      </c>
      <c r="Q14" s="890" t="str">
        <f t="shared" si="2"/>
        <v>A</v>
      </c>
      <c r="R14" s="890" t="s">
        <v>453</v>
      </c>
      <c r="S14" s="890" t="str">
        <f t="shared" si="3"/>
        <v>N</v>
      </c>
      <c r="T14" s="890" t="str">
        <f t="shared" si="4"/>
        <v>N</v>
      </c>
      <c r="U14" s="890" t="str">
        <f t="shared" si="5"/>
        <v>A</v>
      </c>
      <c r="V14" s="890" t="s">
        <v>452</v>
      </c>
      <c r="W14" s="890" t="str">
        <f t="shared" si="6"/>
        <v>A</v>
      </c>
      <c r="X14" s="890" t="str">
        <f t="shared" si="7"/>
        <v>A</v>
      </c>
      <c r="Y14" s="890" t="str">
        <f t="shared" si="8"/>
        <v>N</v>
      </c>
      <c r="Z14" s="890" t="str">
        <f t="shared" si="9"/>
        <v>N</v>
      </c>
      <c r="AA14" s="890" t="str">
        <f t="shared" si="10"/>
        <v>A</v>
      </c>
      <c r="AB14" s="890" t="str">
        <f t="shared" si="11"/>
        <v>A</v>
      </c>
      <c r="AC14" s="890" t="str">
        <f t="shared" si="12"/>
        <v>A</v>
      </c>
      <c r="AD14" s="891"/>
      <c r="AE14" s="884"/>
      <c r="AF14" s="885"/>
      <c r="AG14" s="886"/>
      <c r="AH14" s="887"/>
      <c r="AI14" s="888"/>
    </row>
    <row r="15" spans="2:51" x14ac:dyDescent="0.3">
      <c r="B15" s="1151"/>
      <c r="C15" s="766" t="s">
        <v>425</v>
      </c>
      <c r="D15" s="892" t="s">
        <v>453</v>
      </c>
      <c r="E15" s="890" t="s">
        <v>453</v>
      </c>
      <c r="F15" s="890" t="s">
        <v>453</v>
      </c>
      <c r="G15" s="890" t="s">
        <v>453</v>
      </c>
      <c r="H15" s="890"/>
      <c r="I15" s="890"/>
      <c r="J15" s="890"/>
      <c r="K15" s="890"/>
      <c r="L15" s="890"/>
      <c r="M15" s="890"/>
      <c r="N15" s="890" t="s">
        <v>453</v>
      </c>
      <c r="O15" s="890"/>
      <c r="P15" s="890" t="s">
        <v>453</v>
      </c>
      <c r="Q15" s="890" t="str">
        <f t="shared" si="2"/>
        <v>N</v>
      </c>
      <c r="R15" s="890" t="s">
        <v>453</v>
      </c>
      <c r="S15" s="890" t="str">
        <f t="shared" si="3"/>
        <v>N</v>
      </c>
      <c r="T15" s="890" t="str">
        <f t="shared" si="4"/>
        <v>N</v>
      </c>
      <c r="U15" s="890" t="str">
        <f t="shared" si="5"/>
        <v>N</v>
      </c>
      <c r="V15" s="890" t="s">
        <v>452</v>
      </c>
      <c r="W15" s="890" t="str">
        <f t="shared" si="6"/>
        <v>N</v>
      </c>
      <c r="X15" s="890" t="str">
        <f t="shared" si="7"/>
        <v>N</v>
      </c>
      <c r="Y15" s="890" t="str">
        <f t="shared" si="8"/>
        <v>N</v>
      </c>
      <c r="Z15" s="890" t="str">
        <f t="shared" si="9"/>
        <v>N</v>
      </c>
      <c r="AA15" s="890" t="str">
        <f t="shared" si="10"/>
        <v>A</v>
      </c>
      <c r="AB15" s="890" t="str">
        <f t="shared" si="11"/>
        <v>N</v>
      </c>
      <c r="AC15" s="890" t="str">
        <f t="shared" si="12"/>
        <v>N</v>
      </c>
      <c r="AD15" s="891"/>
      <c r="AE15" s="884"/>
      <c r="AF15" s="885"/>
      <c r="AG15" s="886"/>
      <c r="AH15" s="887"/>
      <c r="AI15" s="888"/>
    </row>
    <row r="16" spans="2:51" x14ac:dyDescent="0.3">
      <c r="B16" s="1151"/>
      <c r="C16" s="766" t="s">
        <v>427</v>
      </c>
      <c r="D16" s="892" t="s">
        <v>453</v>
      </c>
      <c r="E16" s="890" t="s">
        <v>453</v>
      </c>
      <c r="F16" s="890" t="s">
        <v>453</v>
      </c>
      <c r="G16" s="890" t="s">
        <v>452</v>
      </c>
      <c r="H16" s="890"/>
      <c r="I16" s="890"/>
      <c r="J16" s="890"/>
      <c r="K16" s="890"/>
      <c r="L16" s="890"/>
      <c r="M16" s="890"/>
      <c r="N16" s="890" t="s">
        <v>453</v>
      </c>
      <c r="O16" s="890"/>
      <c r="P16" s="890" t="s">
        <v>453</v>
      </c>
      <c r="Q16" s="890" t="str">
        <f t="shared" si="2"/>
        <v>A</v>
      </c>
      <c r="R16" s="890" t="s">
        <v>452</v>
      </c>
      <c r="S16" s="890" t="str">
        <f t="shared" si="3"/>
        <v>A</v>
      </c>
      <c r="T16" s="890" t="str">
        <f t="shared" si="4"/>
        <v>A</v>
      </c>
      <c r="U16" s="890" t="str">
        <f t="shared" si="5"/>
        <v>A</v>
      </c>
      <c r="V16" s="890" t="s">
        <v>452</v>
      </c>
      <c r="W16" s="890" t="str">
        <f t="shared" si="6"/>
        <v>A</v>
      </c>
      <c r="X16" s="890" t="str">
        <f t="shared" si="7"/>
        <v>A</v>
      </c>
      <c r="Y16" s="890" t="str">
        <f t="shared" si="8"/>
        <v>A</v>
      </c>
      <c r="Z16" s="890" t="str">
        <f t="shared" si="9"/>
        <v>A</v>
      </c>
      <c r="AA16" s="890" t="str">
        <f t="shared" si="10"/>
        <v>A</v>
      </c>
      <c r="AB16" s="890" t="str">
        <f t="shared" si="11"/>
        <v>A</v>
      </c>
      <c r="AC16" s="890" t="str">
        <f t="shared" si="12"/>
        <v>A</v>
      </c>
      <c r="AD16" s="891"/>
      <c r="AE16" s="884"/>
      <c r="AF16" s="885"/>
      <c r="AG16" s="886"/>
      <c r="AH16" s="887"/>
      <c r="AI16" s="888"/>
    </row>
    <row r="17" spans="1:51" x14ac:dyDescent="0.3">
      <c r="B17" s="1151"/>
      <c r="C17" s="766" t="s">
        <v>429</v>
      </c>
      <c r="D17" s="892" t="s">
        <v>453</v>
      </c>
      <c r="E17" s="890" t="s">
        <v>453</v>
      </c>
      <c r="F17" s="890" t="s">
        <v>453</v>
      </c>
      <c r="G17" s="890" t="s">
        <v>453</v>
      </c>
      <c r="H17" s="890"/>
      <c r="I17" s="890"/>
      <c r="J17" s="890"/>
      <c r="K17" s="890"/>
      <c r="L17" s="890"/>
      <c r="M17" s="890"/>
      <c r="N17" s="890" t="s">
        <v>453</v>
      </c>
      <c r="O17" s="890"/>
      <c r="P17" s="890" t="s">
        <v>453</v>
      </c>
      <c r="Q17" s="890" t="str">
        <f t="shared" si="2"/>
        <v>N</v>
      </c>
      <c r="R17" s="890" t="s">
        <v>453</v>
      </c>
      <c r="S17" s="890" t="str">
        <f t="shared" si="3"/>
        <v>N</v>
      </c>
      <c r="T17" s="890" t="str">
        <f t="shared" si="4"/>
        <v>N</v>
      </c>
      <c r="U17" s="890" t="str">
        <f t="shared" si="5"/>
        <v>N</v>
      </c>
      <c r="V17" s="890" t="s">
        <v>453</v>
      </c>
      <c r="W17" s="890" t="str">
        <f t="shared" si="6"/>
        <v>N</v>
      </c>
      <c r="X17" s="890" t="str">
        <f t="shared" si="7"/>
        <v>N</v>
      </c>
      <c r="Y17" s="890" t="str">
        <f t="shared" si="8"/>
        <v>N</v>
      </c>
      <c r="Z17" s="890" t="str">
        <f t="shared" si="9"/>
        <v>N</v>
      </c>
      <c r="AA17" s="890" t="str">
        <f t="shared" si="10"/>
        <v>N</v>
      </c>
      <c r="AB17" s="890" t="str">
        <f t="shared" si="11"/>
        <v>N</v>
      </c>
      <c r="AC17" s="890" t="str">
        <f t="shared" si="12"/>
        <v>N</v>
      </c>
      <c r="AD17" s="891"/>
      <c r="AE17" s="884"/>
      <c r="AF17" s="885"/>
      <c r="AG17" s="886"/>
      <c r="AH17" s="887"/>
      <c r="AI17" s="888"/>
    </row>
    <row r="18" spans="1:51" x14ac:dyDescent="0.3">
      <c r="B18" s="1151"/>
      <c r="C18" s="770" t="s">
        <v>431</v>
      </c>
      <c r="D18" s="892" t="s">
        <v>453</v>
      </c>
      <c r="E18" s="890" t="s">
        <v>453</v>
      </c>
      <c r="F18" s="890" t="s">
        <v>453</v>
      </c>
      <c r="G18" s="890" t="s">
        <v>453</v>
      </c>
      <c r="H18" s="890"/>
      <c r="I18" s="890"/>
      <c r="J18" s="890"/>
      <c r="K18" s="890"/>
      <c r="L18" s="890"/>
      <c r="M18" s="890"/>
      <c r="N18" s="890" t="s">
        <v>453</v>
      </c>
      <c r="O18" s="890"/>
      <c r="P18" s="890" t="s">
        <v>453</v>
      </c>
      <c r="Q18" s="890" t="str">
        <f t="shared" si="2"/>
        <v>N</v>
      </c>
      <c r="R18" s="890" t="s">
        <v>452</v>
      </c>
      <c r="S18" s="890" t="str">
        <f t="shared" si="3"/>
        <v>A</v>
      </c>
      <c r="T18" s="890" t="str">
        <f t="shared" si="4"/>
        <v>A</v>
      </c>
      <c r="U18" s="890" t="str">
        <f t="shared" si="5"/>
        <v>N</v>
      </c>
      <c r="V18" s="890" t="s">
        <v>452</v>
      </c>
      <c r="W18" s="890" t="str">
        <f t="shared" si="6"/>
        <v>N</v>
      </c>
      <c r="X18" s="890" t="str">
        <f t="shared" si="7"/>
        <v>N</v>
      </c>
      <c r="Y18" s="890" t="str">
        <f t="shared" si="8"/>
        <v>A</v>
      </c>
      <c r="Z18" s="890" t="str">
        <f t="shared" si="9"/>
        <v>A</v>
      </c>
      <c r="AA18" s="890" t="str">
        <f t="shared" si="10"/>
        <v>A</v>
      </c>
      <c r="AB18" s="890" t="str">
        <f t="shared" si="11"/>
        <v>N</v>
      </c>
      <c r="AC18" s="890" t="str">
        <f t="shared" si="12"/>
        <v>N</v>
      </c>
      <c r="AD18" s="891"/>
      <c r="AE18" s="884"/>
      <c r="AF18" s="885"/>
      <c r="AG18" s="886"/>
      <c r="AH18" s="887"/>
      <c r="AI18" s="888"/>
    </row>
    <row r="19" spans="1:51" s="593" customFormat="1" outlineLevel="2" x14ac:dyDescent="0.3">
      <c r="A19" s="178"/>
      <c r="B19" s="893"/>
      <c r="C19" s="894"/>
      <c r="D19" s="996"/>
      <c r="E19" s="997">
        <f>COUNTIF(E7:E18,"A")</f>
        <v>0</v>
      </c>
      <c r="F19" s="998">
        <f t="shared" ref="F19:G19" si="13">COUNTIF(F7:F18,"A")</f>
        <v>0</v>
      </c>
      <c r="G19" s="998">
        <f t="shared" si="13"/>
        <v>6</v>
      </c>
      <c r="H19" s="998"/>
      <c r="I19" s="998"/>
      <c r="J19" s="998"/>
      <c r="K19" s="998"/>
      <c r="L19" s="998"/>
      <c r="M19" s="998"/>
      <c r="N19" s="998">
        <f t="shared" ref="N19" si="14">COUNTIF(N7:N18,"A")</f>
        <v>0</v>
      </c>
      <c r="O19" s="998"/>
      <c r="P19" s="998">
        <f t="shared" ref="P19:AC19" si="15">COUNTIF(P7:P18,"A")</f>
        <v>0</v>
      </c>
      <c r="Q19" s="998">
        <f t="shared" si="15"/>
        <v>6</v>
      </c>
      <c r="R19" s="998">
        <f t="shared" si="15"/>
        <v>5</v>
      </c>
      <c r="S19" s="998">
        <f t="shared" si="15"/>
        <v>5</v>
      </c>
      <c r="T19" s="998">
        <f t="shared" si="15"/>
        <v>5</v>
      </c>
      <c r="U19" s="998">
        <f t="shared" si="15"/>
        <v>6</v>
      </c>
      <c r="V19" s="998">
        <f t="shared" si="15"/>
        <v>8</v>
      </c>
      <c r="W19" s="998">
        <f t="shared" si="15"/>
        <v>6</v>
      </c>
      <c r="X19" s="998">
        <f t="shared" si="15"/>
        <v>6</v>
      </c>
      <c r="Y19" s="998">
        <f t="shared" si="15"/>
        <v>5</v>
      </c>
      <c r="Z19" s="998">
        <f t="shared" si="15"/>
        <v>5</v>
      </c>
      <c r="AA19" s="998">
        <f t="shared" si="15"/>
        <v>8</v>
      </c>
      <c r="AB19" s="998">
        <f t="shared" si="15"/>
        <v>6</v>
      </c>
      <c r="AC19" s="998">
        <f t="shared" si="15"/>
        <v>6</v>
      </c>
      <c r="AD19" s="999"/>
      <c r="AE19" s="899"/>
      <c r="AF19" s="900"/>
      <c r="AG19" s="901"/>
      <c r="AH19" s="901"/>
      <c r="AI19" s="902"/>
      <c r="AJ19" s="758"/>
      <c r="AK19" s="758"/>
      <c r="AL19" s="758"/>
      <c r="AM19" s="758"/>
      <c r="AN19" s="758"/>
      <c r="AO19" s="758"/>
      <c r="AP19" s="758"/>
      <c r="AQ19" s="758"/>
      <c r="AR19" s="758"/>
      <c r="AS19" s="758"/>
      <c r="AT19" s="758"/>
      <c r="AU19" s="758"/>
      <c r="AV19" s="758"/>
      <c r="AW19" s="758"/>
      <c r="AX19" s="758"/>
    </row>
    <row r="20" spans="1:51" x14ac:dyDescent="0.3">
      <c r="B20" s="893"/>
      <c r="C20" s="894" t="s">
        <v>461</v>
      </c>
      <c r="D20" s="895">
        <v>0</v>
      </c>
      <c r="E20" s="896">
        <v>0</v>
      </c>
      <c r="F20" s="897">
        <v>0</v>
      </c>
      <c r="G20" s="897">
        <v>0.25</v>
      </c>
      <c r="H20" s="897"/>
      <c r="I20" s="897"/>
      <c r="J20" s="897"/>
      <c r="K20" s="897"/>
      <c r="L20" s="897"/>
      <c r="M20" s="897"/>
      <c r="N20" s="897">
        <v>0</v>
      </c>
      <c r="O20" s="897"/>
      <c r="P20" s="897">
        <v>0</v>
      </c>
      <c r="Q20" s="897">
        <f t="shared" si="2"/>
        <v>0.25</v>
      </c>
      <c r="R20" s="897">
        <v>0.2</v>
      </c>
      <c r="S20" s="897">
        <f t="shared" si="3"/>
        <v>0.2</v>
      </c>
      <c r="T20" s="897">
        <f t="shared" si="4"/>
        <v>0.2</v>
      </c>
      <c r="U20" s="897">
        <f t="shared" si="5"/>
        <v>0.25</v>
      </c>
      <c r="V20" s="897">
        <v>0.35</v>
      </c>
      <c r="W20" s="897">
        <f t="shared" si="6"/>
        <v>0.25</v>
      </c>
      <c r="X20" s="897">
        <f t="shared" si="7"/>
        <v>0.25</v>
      </c>
      <c r="Y20" s="897">
        <f t="shared" si="8"/>
        <v>0.2</v>
      </c>
      <c r="Z20" s="897">
        <f t="shared" si="9"/>
        <v>0.2</v>
      </c>
      <c r="AA20" s="897">
        <f t="shared" si="10"/>
        <v>0.35</v>
      </c>
      <c r="AB20" s="897">
        <f t="shared" si="11"/>
        <v>0.25</v>
      </c>
      <c r="AC20" s="897">
        <f t="shared" si="12"/>
        <v>0.25</v>
      </c>
      <c r="AD20" s="898"/>
      <c r="AE20" s="899"/>
      <c r="AF20" s="900"/>
      <c r="AG20" s="901"/>
      <c r="AH20" s="901"/>
      <c r="AI20" s="902"/>
    </row>
    <row r="21" spans="1:51" ht="43.2" customHeight="1" x14ac:dyDescent="0.3">
      <c r="B21" s="256" t="str">
        <f>'Procesy - AS IS'!B9</f>
        <v>Meranie č. 2</v>
      </c>
      <c r="C21" s="749" t="str">
        <f>'Procesy - AS IS'!$C$9</f>
        <v>ETI ELB, s.r.o. Báhoň, Nakladanie s vodami a prevádzku a účinnosť ČOV, 6419/2017</v>
      </c>
      <c r="D21" s="872">
        <f>-'Procesy - AS IS'!D11*D34</f>
        <v>0</v>
      </c>
      <c r="E21" s="752">
        <f>-'Procesy - AS IS'!E11*E34</f>
        <v>0</v>
      </c>
      <c r="F21" s="752">
        <f>-'Procesy - AS IS'!F11*F34</f>
        <v>0</v>
      </c>
      <c r="G21" s="752">
        <f>-'Procesy - AS IS'!G11*G34</f>
        <v>-3</v>
      </c>
      <c r="H21" s="752" t="s">
        <v>523</v>
      </c>
      <c r="I21" s="752" t="s">
        <v>523</v>
      </c>
      <c r="J21" s="752" t="s">
        <v>523</v>
      </c>
      <c r="K21" s="752" t="s">
        <v>523</v>
      </c>
      <c r="L21" s="752" t="s">
        <v>523</v>
      </c>
      <c r="M21" s="752" t="s">
        <v>523</v>
      </c>
      <c r="N21" s="752">
        <f>-'Procesy - AS IS'!N11*N34</f>
        <v>0</v>
      </c>
      <c r="O21" s="752" t="s">
        <v>524</v>
      </c>
      <c r="P21" s="752">
        <f>-'Procesy - AS IS'!P11*P34</f>
        <v>0</v>
      </c>
      <c r="Q21" s="752">
        <f>-'Procesy - AS IS'!Q11*Q34</f>
        <v>0</v>
      </c>
      <c r="R21" s="752">
        <f>-'Procesy - AS IS'!R11*R34</f>
        <v>-1.7513513513513512</v>
      </c>
      <c r="S21" s="752">
        <f>-'Procesy - AS IS'!S11*S34</f>
        <v>-3.0486486486486486</v>
      </c>
      <c r="T21" s="752">
        <f>-'Procesy - AS IS'!T11*T34</f>
        <v>-1.1675675675675676</v>
      </c>
      <c r="U21" s="752">
        <f>-'Procesy - AS IS'!U11*U34</f>
        <v>-1.2702702702702702</v>
      </c>
      <c r="V21" s="752">
        <f>-'Procesy - AS IS'!V11*V34</f>
        <v>-2.8</v>
      </c>
      <c r="W21" s="752">
        <f>-'Procesy - AS IS'!W11*W34</f>
        <v>-0.25675675675675674</v>
      </c>
      <c r="X21" s="752">
        <f>-'Procesy - AS IS'!X11*X34</f>
        <v>0</v>
      </c>
      <c r="Y21" s="752">
        <f>-'Procesy - AS IS'!Y11*Y34</f>
        <v>-1.2324324324324323</v>
      </c>
      <c r="Z21" s="752">
        <f>-'Procesy - AS IS'!Z11*Z34</f>
        <v>-3.783783783783784E-2</v>
      </c>
      <c r="AA21" s="752">
        <f>-'Procesy - AS IS'!AA11*AA34</f>
        <v>-3.310810810810811E-2</v>
      </c>
      <c r="AB21" s="752">
        <f>-'Procesy - AS IS'!AB11*AB34</f>
        <v>-0.23648648648648651</v>
      </c>
      <c r="AC21" s="752">
        <f>-'Procesy - AS IS'!AC11*AC34</f>
        <v>-0.66216216216216217</v>
      </c>
      <c r="AD21" s="903">
        <f>SUM(D21:AC21)</f>
        <v>-15.496621621621619</v>
      </c>
      <c r="AE21" s="880">
        <f>AD21/'Procesy - AS IS'!AD11</f>
        <v>-0.18901433987143557</v>
      </c>
      <c r="AF21" s="881">
        <f>'Procesy - AS IS'!AG11/(1+$AE21)-'Procesy - AS IS'!AG11</f>
        <v>34.493978964483489</v>
      </c>
      <c r="AG21" s="882">
        <f>'Procesy - AS IS'!AH11/(1+$AE21)-'Procesy - AS IS'!AH11</f>
        <v>12.585640973527759</v>
      </c>
      <c r="AH21" s="877">
        <f>'Procesy - AS IS'!AI11/(1+$AE21)-'Procesy - AS IS'!AI11</f>
        <v>8.8565621665565715</v>
      </c>
      <c r="AI21" s="878">
        <f>'Procesy - AS IS'!AJ11/(1+$AE21)-'Procesy - AS IS'!AJ11</f>
        <v>1.6314719780498947</v>
      </c>
    </row>
    <row r="22" spans="1:51" x14ac:dyDescent="0.3">
      <c r="B22" s="1150" t="s">
        <v>451</v>
      </c>
      <c r="C22" s="766" t="s">
        <v>409</v>
      </c>
      <c r="D22" s="892" t="s">
        <v>453</v>
      </c>
      <c r="E22" s="890" t="s">
        <v>453</v>
      </c>
      <c r="F22" s="890" t="s">
        <v>453</v>
      </c>
      <c r="G22" s="890" t="str">
        <f t="shared" ref="G22:G33" si="16">G7</f>
        <v>A</v>
      </c>
      <c r="H22" s="890"/>
      <c r="I22" s="890"/>
      <c r="J22" s="890"/>
      <c r="K22" s="890"/>
      <c r="L22" s="890"/>
      <c r="M22" s="890"/>
      <c r="N22" s="890" t="s">
        <v>453</v>
      </c>
      <c r="O22" s="890"/>
      <c r="P22" s="890" t="str">
        <f t="shared" ref="P22:P33" si="17">P7</f>
        <v>N</v>
      </c>
      <c r="Q22" s="890" t="str">
        <f t="shared" ref="Q22:Q34" si="18">G22</f>
        <v>A</v>
      </c>
      <c r="R22" s="890" t="str">
        <f t="shared" ref="R22:R33" si="19">R7</f>
        <v>A</v>
      </c>
      <c r="S22" s="890" t="str">
        <f t="shared" ref="S22:S34" si="20">R22</f>
        <v>A</v>
      </c>
      <c r="T22" s="890" t="str">
        <f t="shared" ref="T22:T34" si="21">R22</f>
        <v>A</v>
      </c>
      <c r="U22" s="890" t="str">
        <f t="shared" ref="U22:U34" si="22">G22</f>
        <v>A</v>
      </c>
      <c r="V22" s="890" t="str">
        <f t="shared" ref="V22:V33" si="23">V7</f>
        <v>A</v>
      </c>
      <c r="W22" s="890" t="str">
        <f t="shared" ref="W22:W34" si="24">G22</f>
        <v>A</v>
      </c>
      <c r="X22" s="890" t="str">
        <f t="shared" ref="X22:X34" si="25">G22</f>
        <v>A</v>
      </c>
      <c r="Y22" s="890" t="str">
        <f t="shared" ref="Y22:Y34" si="26">R22</f>
        <v>A</v>
      </c>
      <c r="Z22" s="890" t="str">
        <f t="shared" ref="Z22:Z34" si="27">R22</f>
        <v>A</v>
      </c>
      <c r="AA22" s="890" t="str">
        <f t="shared" ref="AA22:AA34" si="28">$V22</f>
        <v>A</v>
      </c>
      <c r="AB22" s="890" t="str">
        <f t="shared" ref="AB22:AB34" si="29">G22</f>
        <v>A</v>
      </c>
      <c r="AC22" s="890" t="str">
        <f t="shared" ref="AC22:AC34" si="30">G22</f>
        <v>A</v>
      </c>
      <c r="AD22" s="891"/>
      <c r="AE22" s="884"/>
      <c r="AF22" s="885"/>
      <c r="AG22" s="886"/>
      <c r="AH22" s="887"/>
      <c r="AI22" s="888"/>
      <c r="AK22" s="252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</row>
    <row r="23" spans="1:51" x14ac:dyDescent="0.3">
      <c r="B23" s="1151"/>
      <c r="C23" s="766" t="s">
        <v>411</v>
      </c>
      <c r="D23" s="889" t="s">
        <v>453</v>
      </c>
      <c r="E23" s="890" t="s">
        <v>453</v>
      </c>
      <c r="F23" s="890" t="s">
        <v>453</v>
      </c>
      <c r="G23" s="890" t="str">
        <f t="shared" si="16"/>
        <v>N</v>
      </c>
      <c r="H23" s="890"/>
      <c r="I23" s="890"/>
      <c r="J23" s="890"/>
      <c r="K23" s="890"/>
      <c r="L23" s="890"/>
      <c r="M23" s="890"/>
      <c r="N23" s="890" t="s">
        <v>453</v>
      </c>
      <c r="O23" s="890"/>
      <c r="P23" s="890" t="str">
        <f t="shared" si="17"/>
        <v>N</v>
      </c>
      <c r="Q23" s="890" t="str">
        <f t="shared" si="18"/>
        <v>N</v>
      </c>
      <c r="R23" s="890" t="str">
        <f t="shared" si="19"/>
        <v>N</v>
      </c>
      <c r="S23" s="890" t="str">
        <f t="shared" si="20"/>
        <v>N</v>
      </c>
      <c r="T23" s="890" t="str">
        <f t="shared" si="21"/>
        <v>N</v>
      </c>
      <c r="U23" s="890" t="str">
        <f t="shared" si="22"/>
        <v>N</v>
      </c>
      <c r="V23" s="890" t="str">
        <f t="shared" si="23"/>
        <v>N</v>
      </c>
      <c r="W23" s="890" t="str">
        <f t="shared" si="24"/>
        <v>N</v>
      </c>
      <c r="X23" s="890" t="str">
        <f t="shared" si="25"/>
        <v>N</v>
      </c>
      <c r="Y23" s="890" t="str">
        <f t="shared" si="26"/>
        <v>N</v>
      </c>
      <c r="Z23" s="890" t="str">
        <f t="shared" si="27"/>
        <v>N</v>
      </c>
      <c r="AA23" s="890" t="str">
        <f t="shared" si="28"/>
        <v>N</v>
      </c>
      <c r="AB23" s="890" t="str">
        <f t="shared" si="29"/>
        <v>N</v>
      </c>
      <c r="AC23" s="890" t="str">
        <f t="shared" si="30"/>
        <v>N</v>
      </c>
      <c r="AD23" s="891"/>
      <c r="AE23" s="884"/>
      <c r="AF23" s="885"/>
      <c r="AG23" s="886"/>
      <c r="AH23" s="887"/>
      <c r="AI23" s="888"/>
      <c r="AK23" s="252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</row>
    <row r="24" spans="1:51" x14ac:dyDescent="0.3">
      <c r="B24" s="1151"/>
      <c r="C24" s="766" t="s">
        <v>413</v>
      </c>
      <c r="D24" s="889" t="s">
        <v>453</v>
      </c>
      <c r="E24" s="890" t="s">
        <v>453</v>
      </c>
      <c r="F24" s="890" t="s">
        <v>453</v>
      </c>
      <c r="G24" s="890" t="str">
        <f t="shared" si="16"/>
        <v>N</v>
      </c>
      <c r="H24" s="890"/>
      <c r="I24" s="890"/>
      <c r="J24" s="890"/>
      <c r="K24" s="890"/>
      <c r="L24" s="890"/>
      <c r="M24" s="890"/>
      <c r="N24" s="890" t="s">
        <v>453</v>
      </c>
      <c r="O24" s="890"/>
      <c r="P24" s="890" t="str">
        <f t="shared" si="17"/>
        <v>N</v>
      </c>
      <c r="Q24" s="890" t="str">
        <f t="shared" si="18"/>
        <v>N</v>
      </c>
      <c r="R24" s="890" t="str">
        <f t="shared" si="19"/>
        <v>N</v>
      </c>
      <c r="S24" s="890" t="str">
        <f t="shared" si="20"/>
        <v>N</v>
      </c>
      <c r="T24" s="890" t="str">
        <f t="shared" si="21"/>
        <v>N</v>
      </c>
      <c r="U24" s="890" t="str">
        <f t="shared" si="22"/>
        <v>N</v>
      </c>
      <c r="V24" s="890" t="str">
        <f t="shared" si="23"/>
        <v>N</v>
      </c>
      <c r="W24" s="890" t="str">
        <f t="shared" si="24"/>
        <v>N</v>
      </c>
      <c r="X24" s="890" t="str">
        <f t="shared" si="25"/>
        <v>N</v>
      </c>
      <c r="Y24" s="890" t="str">
        <f t="shared" si="26"/>
        <v>N</v>
      </c>
      <c r="Z24" s="890" t="str">
        <f t="shared" si="27"/>
        <v>N</v>
      </c>
      <c r="AA24" s="890" t="str">
        <f t="shared" si="28"/>
        <v>N</v>
      </c>
      <c r="AB24" s="890" t="str">
        <f t="shared" si="29"/>
        <v>N</v>
      </c>
      <c r="AC24" s="890" t="str">
        <f t="shared" si="30"/>
        <v>N</v>
      </c>
      <c r="AD24" s="891"/>
      <c r="AE24" s="884"/>
      <c r="AF24" s="885"/>
      <c r="AG24" s="886"/>
      <c r="AH24" s="887"/>
      <c r="AI24" s="888"/>
      <c r="AK24" s="252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</row>
    <row r="25" spans="1:51" x14ac:dyDescent="0.3">
      <c r="B25" s="1151"/>
      <c r="C25" s="766" t="s">
        <v>415</v>
      </c>
      <c r="D25" s="892" t="s">
        <v>453</v>
      </c>
      <c r="E25" s="890" t="s">
        <v>453</v>
      </c>
      <c r="F25" s="890" t="s">
        <v>453</v>
      </c>
      <c r="G25" s="890" t="str">
        <f t="shared" si="16"/>
        <v>N</v>
      </c>
      <c r="H25" s="890"/>
      <c r="I25" s="890"/>
      <c r="J25" s="890"/>
      <c r="K25" s="890"/>
      <c r="L25" s="890"/>
      <c r="M25" s="890"/>
      <c r="N25" s="890" t="s">
        <v>453</v>
      </c>
      <c r="O25" s="890"/>
      <c r="P25" s="890" t="str">
        <f t="shared" si="17"/>
        <v>N</v>
      </c>
      <c r="Q25" s="890" t="str">
        <f t="shared" si="18"/>
        <v>N</v>
      </c>
      <c r="R25" s="890" t="str">
        <f t="shared" si="19"/>
        <v>N</v>
      </c>
      <c r="S25" s="890" t="str">
        <f t="shared" si="20"/>
        <v>N</v>
      </c>
      <c r="T25" s="890" t="str">
        <f t="shared" si="21"/>
        <v>N</v>
      </c>
      <c r="U25" s="890" t="str">
        <f t="shared" si="22"/>
        <v>N</v>
      </c>
      <c r="V25" s="890" t="str">
        <f t="shared" si="23"/>
        <v>N</v>
      </c>
      <c r="W25" s="890" t="str">
        <f t="shared" si="24"/>
        <v>N</v>
      </c>
      <c r="X25" s="890" t="str">
        <f t="shared" si="25"/>
        <v>N</v>
      </c>
      <c r="Y25" s="890" t="str">
        <f t="shared" si="26"/>
        <v>N</v>
      </c>
      <c r="Z25" s="890" t="str">
        <f t="shared" si="27"/>
        <v>N</v>
      </c>
      <c r="AA25" s="890" t="str">
        <f t="shared" si="28"/>
        <v>N</v>
      </c>
      <c r="AB25" s="890" t="str">
        <f t="shared" si="29"/>
        <v>N</v>
      </c>
      <c r="AC25" s="890" t="str">
        <f t="shared" si="30"/>
        <v>N</v>
      </c>
      <c r="AD25" s="891"/>
      <c r="AE25" s="884"/>
      <c r="AF25" s="885"/>
      <c r="AG25" s="886"/>
      <c r="AH25" s="887"/>
      <c r="AI25" s="888"/>
    </row>
    <row r="26" spans="1:51" x14ac:dyDescent="0.3">
      <c r="B26" s="1151"/>
      <c r="C26" s="766" t="s">
        <v>417</v>
      </c>
      <c r="D26" s="892" t="s">
        <v>453</v>
      </c>
      <c r="E26" s="890" t="s">
        <v>453</v>
      </c>
      <c r="F26" s="890" t="s">
        <v>453</v>
      </c>
      <c r="G26" s="890" t="str">
        <f t="shared" si="16"/>
        <v>A</v>
      </c>
      <c r="H26" s="890"/>
      <c r="I26" s="890"/>
      <c r="J26" s="890"/>
      <c r="K26" s="890"/>
      <c r="L26" s="890"/>
      <c r="M26" s="890"/>
      <c r="N26" s="890" t="s">
        <v>453</v>
      </c>
      <c r="O26" s="890"/>
      <c r="P26" s="890" t="str">
        <f t="shared" si="17"/>
        <v>N</v>
      </c>
      <c r="Q26" s="890" t="str">
        <f t="shared" si="18"/>
        <v>A</v>
      </c>
      <c r="R26" s="890" t="str">
        <f t="shared" si="19"/>
        <v>A</v>
      </c>
      <c r="S26" s="890" t="str">
        <f t="shared" si="20"/>
        <v>A</v>
      </c>
      <c r="T26" s="890" t="str">
        <f t="shared" si="21"/>
        <v>A</v>
      </c>
      <c r="U26" s="890" t="str">
        <f t="shared" si="22"/>
        <v>A</v>
      </c>
      <c r="V26" s="890" t="str">
        <f t="shared" si="23"/>
        <v>A</v>
      </c>
      <c r="W26" s="890" t="str">
        <f t="shared" si="24"/>
        <v>A</v>
      </c>
      <c r="X26" s="890" t="str">
        <f t="shared" si="25"/>
        <v>A</v>
      </c>
      <c r="Y26" s="890" t="str">
        <f t="shared" si="26"/>
        <v>A</v>
      </c>
      <c r="Z26" s="890" t="str">
        <f t="shared" si="27"/>
        <v>A</v>
      </c>
      <c r="AA26" s="890" t="str">
        <f t="shared" si="28"/>
        <v>A</v>
      </c>
      <c r="AB26" s="890" t="str">
        <f t="shared" si="29"/>
        <v>A</v>
      </c>
      <c r="AC26" s="890" t="str">
        <f t="shared" si="30"/>
        <v>A</v>
      </c>
      <c r="AD26" s="891"/>
      <c r="AE26" s="884"/>
      <c r="AF26" s="885"/>
      <c r="AG26" s="886"/>
      <c r="AH26" s="887"/>
      <c r="AI26" s="888"/>
    </row>
    <row r="27" spans="1:51" x14ac:dyDescent="0.3">
      <c r="B27" s="1151"/>
      <c r="C27" s="766" t="s">
        <v>419</v>
      </c>
      <c r="D27" s="892" t="s">
        <v>453</v>
      </c>
      <c r="E27" s="890" t="s">
        <v>453</v>
      </c>
      <c r="F27" s="890" t="s">
        <v>453</v>
      </c>
      <c r="G27" s="890" t="str">
        <f t="shared" si="16"/>
        <v>A</v>
      </c>
      <c r="H27" s="890"/>
      <c r="I27" s="890"/>
      <c r="J27" s="890"/>
      <c r="K27" s="890"/>
      <c r="L27" s="890"/>
      <c r="M27" s="890"/>
      <c r="N27" s="890" t="s">
        <v>453</v>
      </c>
      <c r="O27" s="890"/>
      <c r="P27" s="890" t="str">
        <f t="shared" si="17"/>
        <v>N</v>
      </c>
      <c r="Q27" s="890" t="str">
        <f t="shared" si="18"/>
        <v>A</v>
      </c>
      <c r="R27" s="890" t="str">
        <f t="shared" si="19"/>
        <v>A</v>
      </c>
      <c r="S27" s="890" t="str">
        <f t="shared" si="20"/>
        <v>A</v>
      </c>
      <c r="T27" s="890" t="str">
        <f t="shared" si="21"/>
        <v>A</v>
      </c>
      <c r="U27" s="890" t="str">
        <f t="shared" si="22"/>
        <v>A</v>
      </c>
      <c r="V27" s="890" t="str">
        <f t="shared" si="23"/>
        <v>A</v>
      </c>
      <c r="W27" s="890" t="str">
        <f t="shared" si="24"/>
        <v>A</v>
      </c>
      <c r="X27" s="890" t="str">
        <f t="shared" si="25"/>
        <v>A</v>
      </c>
      <c r="Y27" s="890" t="str">
        <f t="shared" si="26"/>
        <v>A</v>
      </c>
      <c r="Z27" s="890" t="str">
        <f t="shared" si="27"/>
        <v>A</v>
      </c>
      <c r="AA27" s="890" t="str">
        <f t="shared" si="28"/>
        <v>A</v>
      </c>
      <c r="AB27" s="890" t="str">
        <f t="shared" si="29"/>
        <v>A</v>
      </c>
      <c r="AC27" s="890" t="str">
        <f t="shared" si="30"/>
        <v>A</v>
      </c>
      <c r="AD27" s="891"/>
      <c r="AE27" s="884"/>
      <c r="AF27" s="885"/>
      <c r="AG27" s="886"/>
      <c r="AH27" s="887"/>
      <c r="AI27" s="888"/>
    </row>
    <row r="28" spans="1:51" x14ac:dyDescent="0.3">
      <c r="B28" s="1151"/>
      <c r="C28" s="766" t="s">
        <v>421</v>
      </c>
      <c r="D28" s="892" t="s">
        <v>453</v>
      </c>
      <c r="E28" s="890" t="s">
        <v>453</v>
      </c>
      <c r="F28" s="890" t="s">
        <v>453</v>
      </c>
      <c r="G28" s="890" t="str">
        <f t="shared" si="16"/>
        <v>A</v>
      </c>
      <c r="H28" s="890"/>
      <c r="I28" s="890"/>
      <c r="J28" s="890"/>
      <c r="K28" s="890"/>
      <c r="L28" s="890"/>
      <c r="M28" s="890"/>
      <c r="N28" s="890" t="s">
        <v>453</v>
      </c>
      <c r="O28" s="890"/>
      <c r="P28" s="890" t="str">
        <f t="shared" si="17"/>
        <v>N</v>
      </c>
      <c r="Q28" s="890" t="str">
        <f t="shared" si="18"/>
        <v>A</v>
      </c>
      <c r="R28" s="890" t="str">
        <f t="shared" si="19"/>
        <v>N</v>
      </c>
      <c r="S28" s="890" t="str">
        <f t="shared" si="20"/>
        <v>N</v>
      </c>
      <c r="T28" s="890" t="str">
        <f t="shared" si="21"/>
        <v>N</v>
      </c>
      <c r="U28" s="890" t="str">
        <f t="shared" si="22"/>
        <v>A</v>
      </c>
      <c r="V28" s="890" t="str">
        <f t="shared" si="23"/>
        <v>A</v>
      </c>
      <c r="W28" s="890" t="str">
        <f t="shared" si="24"/>
        <v>A</v>
      </c>
      <c r="X28" s="890" t="str">
        <f t="shared" si="25"/>
        <v>A</v>
      </c>
      <c r="Y28" s="890" t="str">
        <f t="shared" si="26"/>
        <v>N</v>
      </c>
      <c r="Z28" s="890" t="str">
        <f t="shared" si="27"/>
        <v>N</v>
      </c>
      <c r="AA28" s="890" t="str">
        <f t="shared" si="28"/>
        <v>A</v>
      </c>
      <c r="AB28" s="890" t="str">
        <f t="shared" si="29"/>
        <v>A</v>
      </c>
      <c r="AC28" s="890" t="str">
        <f t="shared" si="30"/>
        <v>A</v>
      </c>
      <c r="AD28" s="891"/>
      <c r="AE28" s="884"/>
      <c r="AF28" s="885"/>
      <c r="AG28" s="886"/>
      <c r="AH28" s="887"/>
      <c r="AI28" s="888"/>
    </row>
    <row r="29" spans="1:51" x14ac:dyDescent="0.3">
      <c r="B29" s="1151"/>
      <c r="C29" s="766" t="s">
        <v>423</v>
      </c>
      <c r="D29" s="892" t="s">
        <v>453</v>
      </c>
      <c r="E29" s="890" t="s">
        <v>453</v>
      </c>
      <c r="F29" s="890" t="s">
        <v>453</v>
      </c>
      <c r="G29" s="890" t="str">
        <f t="shared" si="16"/>
        <v>A</v>
      </c>
      <c r="H29" s="890"/>
      <c r="I29" s="890"/>
      <c r="J29" s="890"/>
      <c r="K29" s="890"/>
      <c r="L29" s="890"/>
      <c r="M29" s="890"/>
      <c r="N29" s="890" t="s">
        <v>453</v>
      </c>
      <c r="O29" s="890"/>
      <c r="P29" s="890" t="str">
        <f t="shared" si="17"/>
        <v>N</v>
      </c>
      <c r="Q29" s="890" t="str">
        <f t="shared" si="18"/>
        <v>A</v>
      </c>
      <c r="R29" s="890" t="str">
        <f t="shared" si="19"/>
        <v>N</v>
      </c>
      <c r="S29" s="890" t="str">
        <f t="shared" si="20"/>
        <v>N</v>
      </c>
      <c r="T29" s="890" t="str">
        <f t="shared" si="21"/>
        <v>N</v>
      </c>
      <c r="U29" s="890" t="str">
        <f t="shared" si="22"/>
        <v>A</v>
      </c>
      <c r="V29" s="890" t="str">
        <f t="shared" si="23"/>
        <v>A</v>
      </c>
      <c r="W29" s="890" t="str">
        <f t="shared" si="24"/>
        <v>A</v>
      </c>
      <c r="X29" s="890" t="str">
        <f t="shared" si="25"/>
        <v>A</v>
      </c>
      <c r="Y29" s="890" t="str">
        <f t="shared" si="26"/>
        <v>N</v>
      </c>
      <c r="Z29" s="890" t="str">
        <f t="shared" si="27"/>
        <v>N</v>
      </c>
      <c r="AA29" s="890" t="str">
        <f t="shared" si="28"/>
        <v>A</v>
      </c>
      <c r="AB29" s="890" t="str">
        <f t="shared" si="29"/>
        <v>A</v>
      </c>
      <c r="AC29" s="890" t="str">
        <f t="shared" si="30"/>
        <v>A</v>
      </c>
      <c r="AD29" s="891"/>
      <c r="AE29" s="884"/>
      <c r="AF29" s="885"/>
      <c r="AG29" s="886"/>
      <c r="AH29" s="887"/>
      <c r="AI29" s="888"/>
    </row>
    <row r="30" spans="1:51" x14ac:dyDescent="0.3">
      <c r="B30" s="1151"/>
      <c r="C30" s="766" t="s">
        <v>425</v>
      </c>
      <c r="D30" s="892" t="s">
        <v>453</v>
      </c>
      <c r="E30" s="890" t="s">
        <v>453</v>
      </c>
      <c r="F30" s="890" t="s">
        <v>453</v>
      </c>
      <c r="G30" s="890" t="str">
        <f t="shared" si="16"/>
        <v>N</v>
      </c>
      <c r="H30" s="890"/>
      <c r="I30" s="890"/>
      <c r="J30" s="890"/>
      <c r="K30" s="890"/>
      <c r="L30" s="890"/>
      <c r="M30" s="890"/>
      <c r="N30" s="890" t="s">
        <v>453</v>
      </c>
      <c r="O30" s="890"/>
      <c r="P30" s="890" t="str">
        <f t="shared" si="17"/>
        <v>N</v>
      </c>
      <c r="Q30" s="890" t="str">
        <f t="shared" si="18"/>
        <v>N</v>
      </c>
      <c r="R30" s="890" t="str">
        <f t="shared" si="19"/>
        <v>N</v>
      </c>
      <c r="S30" s="890" t="str">
        <f t="shared" si="20"/>
        <v>N</v>
      </c>
      <c r="T30" s="890" t="str">
        <f t="shared" si="21"/>
        <v>N</v>
      </c>
      <c r="U30" s="890" t="str">
        <f t="shared" si="22"/>
        <v>N</v>
      </c>
      <c r="V30" s="890" t="str">
        <f t="shared" si="23"/>
        <v>A</v>
      </c>
      <c r="W30" s="890" t="str">
        <f t="shared" si="24"/>
        <v>N</v>
      </c>
      <c r="X30" s="890" t="str">
        <f t="shared" si="25"/>
        <v>N</v>
      </c>
      <c r="Y30" s="890" t="str">
        <f t="shared" si="26"/>
        <v>N</v>
      </c>
      <c r="Z30" s="890" t="str">
        <f t="shared" si="27"/>
        <v>N</v>
      </c>
      <c r="AA30" s="890" t="str">
        <f t="shared" si="28"/>
        <v>A</v>
      </c>
      <c r="AB30" s="890" t="str">
        <f t="shared" si="29"/>
        <v>N</v>
      </c>
      <c r="AC30" s="890" t="str">
        <f t="shared" si="30"/>
        <v>N</v>
      </c>
      <c r="AD30" s="891"/>
      <c r="AE30" s="884"/>
      <c r="AF30" s="885"/>
      <c r="AG30" s="886"/>
      <c r="AH30" s="887"/>
      <c r="AI30" s="888"/>
    </row>
    <row r="31" spans="1:51" x14ac:dyDescent="0.3">
      <c r="B31" s="1151"/>
      <c r="C31" s="766" t="s">
        <v>427</v>
      </c>
      <c r="D31" s="892" t="s">
        <v>453</v>
      </c>
      <c r="E31" s="890" t="s">
        <v>453</v>
      </c>
      <c r="F31" s="890" t="s">
        <v>453</v>
      </c>
      <c r="G31" s="890" t="str">
        <f t="shared" si="16"/>
        <v>A</v>
      </c>
      <c r="H31" s="890"/>
      <c r="I31" s="890"/>
      <c r="J31" s="890"/>
      <c r="K31" s="890"/>
      <c r="L31" s="890"/>
      <c r="M31" s="890"/>
      <c r="N31" s="890" t="s">
        <v>453</v>
      </c>
      <c r="O31" s="890"/>
      <c r="P31" s="890" t="str">
        <f t="shared" si="17"/>
        <v>N</v>
      </c>
      <c r="Q31" s="890" t="str">
        <f t="shared" si="18"/>
        <v>A</v>
      </c>
      <c r="R31" s="890" t="str">
        <f t="shared" si="19"/>
        <v>A</v>
      </c>
      <c r="S31" s="890" t="str">
        <f t="shared" si="20"/>
        <v>A</v>
      </c>
      <c r="T31" s="890" t="str">
        <f t="shared" si="21"/>
        <v>A</v>
      </c>
      <c r="U31" s="890" t="str">
        <f t="shared" si="22"/>
        <v>A</v>
      </c>
      <c r="V31" s="890" t="str">
        <f t="shared" si="23"/>
        <v>A</v>
      </c>
      <c r="W31" s="890" t="str">
        <f t="shared" si="24"/>
        <v>A</v>
      </c>
      <c r="X31" s="890" t="str">
        <f t="shared" si="25"/>
        <v>A</v>
      </c>
      <c r="Y31" s="890" t="str">
        <f t="shared" si="26"/>
        <v>A</v>
      </c>
      <c r="Z31" s="890" t="str">
        <f t="shared" si="27"/>
        <v>A</v>
      </c>
      <c r="AA31" s="890" t="str">
        <f t="shared" si="28"/>
        <v>A</v>
      </c>
      <c r="AB31" s="890" t="str">
        <f t="shared" si="29"/>
        <v>A</v>
      </c>
      <c r="AC31" s="890" t="str">
        <f t="shared" si="30"/>
        <v>A</v>
      </c>
      <c r="AD31" s="891"/>
      <c r="AE31" s="884"/>
      <c r="AF31" s="885"/>
      <c r="AG31" s="886"/>
      <c r="AH31" s="887"/>
      <c r="AI31" s="888"/>
    </row>
    <row r="32" spans="1:51" x14ac:dyDescent="0.3">
      <c r="B32" s="1151"/>
      <c r="C32" s="766" t="s">
        <v>429</v>
      </c>
      <c r="D32" s="892" t="s">
        <v>453</v>
      </c>
      <c r="E32" s="890" t="s">
        <v>453</v>
      </c>
      <c r="F32" s="890" t="s">
        <v>453</v>
      </c>
      <c r="G32" s="890" t="str">
        <f t="shared" si="16"/>
        <v>N</v>
      </c>
      <c r="H32" s="890"/>
      <c r="I32" s="890"/>
      <c r="J32" s="890"/>
      <c r="K32" s="890"/>
      <c r="L32" s="890"/>
      <c r="M32" s="890"/>
      <c r="N32" s="890" t="s">
        <v>453</v>
      </c>
      <c r="O32" s="890"/>
      <c r="P32" s="890" t="str">
        <f t="shared" si="17"/>
        <v>N</v>
      </c>
      <c r="Q32" s="890" t="str">
        <f t="shared" si="18"/>
        <v>N</v>
      </c>
      <c r="R32" s="890" t="str">
        <f t="shared" si="19"/>
        <v>N</v>
      </c>
      <c r="S32" s="890" t="str">
        <f t="shared" si="20"/>
        <v>N</v>
      </c>
      <c r="T32" s="890" t="str">
        <f t="shared" si="21"/>
        <v>N</v>
      </c>
      <c r="U32" s="890" t="str">
        <f t="shared" si="22"/>
        <v>N</v>
      </c>
      <c r="V32" s="890" t="str">
        <f t="shared" si="23"/>
        <v>N</v>
      </c>
      <c r="W32" s="890" t="str">
        <f t="shared" si="24"/>
        <v>N</v>
      </c>
      <c r="X32" s="890" t="str">
        <f t="shared" si="25"/>
        <v>N</v>
      </c>
      <c r="Y32" s="890" t="str">
        <f t="shared" si="26"/>
        <v>N</v>
      </c>
      <c r="Z32" s="890" t="str">
        <f t="shared" si="27"/>
        <v>N</v>
      </c>
      <c r="AA32" s="890" t="str">
        <f t="shared" si="28"/>
        <v>N</v>
      </c>
      <c r="AB32" s="890" t="str">
        <f t="shared" si="29"/>
        <v>N</v>
      </c>
      <c r="AC32" s="890" t="str">
        <f t="shared" si="30"/>
        <v>N</v>
      </c>
      <c r="AD32" s="891"/>
      <c r="AE32" s="884"/>
      <c r="AF32" s="885"/>
      <c r="AG32" s="886"/>
      <c r="AH32" s="887"/>
      <c r="AI32" s="888"/>
    </row>
    <row r="33" spans="2:51" x14ac:dyDescent="0.3">
      <c r="B33" s="1151"/>
      <c r="C33" s="770" t="s">
        <v>431</v>
      </c>
      <c r="D33" s="892" t="s">
        <v>453</v>
      </c>
      <c r="E33" s="890" t="s">
        <v>453</v>
      </c>
      <c r="F33" s="890" t="s">
        <v>453</v>
      </c>
      <c r="G33" s="890" t="str">
        <f t="shared" si="16"/>
        <v>N</v>
      </c>
      <c r="H33" s="890"/>
      <c r="I33" s="890"/>
      <c r="J33" s="890"/>
      <c r="K33" s="890"/>
      <c r="L33" s="890"/>
      <c r="M33" s="890"/>
      <c r="N33" s="890" t="s">
        <v>453</v>
      </c>
      <c r="O33" s="890"/>
      <c r="P33" s="890" t="str">
        <f t="shared" si="17"/>
        <v>N</v>
      </c>
      <c r="Q33" s="890" t="str">
        <f t="shared" si="18"/>
        <v>N</v>
      </c>
      <c r="R33" s="890" t="str">
        <f t="shared" si="19"/>
        <v>A</v>
      </c>
      <c r="S33" s="890" t="str">
        <f t="shared" si="20"/>
        <v>A</v>
      </c>
      <c r="T33" s="890" t="str">
        <f t="shared" si="21"/>
        <v>A</v>
      </c>
      <c r="U33" s="890" t="str">
        <f t="shared" si="22"/>
        <v>N</v>
      </c>
      <c r="V33" s="890" t="str">
        <f t="shared" si="23"/>
        <v>A</v>
      </c>
      <c r="W33" s="890" t="str">
        <f t="shared" si="24"/>
        <v>N</v>
      </c>
      <c r="X33" s="890" t="str">
        <f t="shared" si="25"/>
        <v>N</v>
      </c>
      <c r="Y33" s="890" t="str">
        <f t="shared" si="26"/>
        <v>A</v>
      </c>
      <c r="Z33" s="890" t="str">
        <f t="shared" si="27"/>
        <v>A</v>
      </c>
      <c r="AA33" s="890" t="str">
        <f t="shared" si="28"/>
        <v>A</v>
      </c>
      <c r="AB33" s="890" t="str">
        <f t="shared" si="29"/>
        <v>N</v>
      </c>
      <c r="AC33" s="890" t="str">
        <f t="shared" si="30"/>
        <v>N</v>
      </c>
      <c r="AD33" s="891"/>
      <c r="AE33" s="884"/>
      <c r="AF33" s="885"/>
      <c r="AG33" s="886"/>
      <c r="AH33" s="887"/>
      <c r="AI33" s="888"/>
    </row>
    <row r="34" spans="2:51" x14ac:dyDescent="0.3">
      <c r="B34" s="893"/>
      <c r="C34" s="894" t="s">
        <v>461</v>
      </c>
      <c r="D34" s="895">
        <v>0</v>
      </c>
      <c r="E34" s="896">
        <v>0</v>
      </c>
      <c r="F34" s="897">
        <v>0</v>
      </c>
      <c r="G34" s="897">
        <f t="shared" ref="G34" si="31">G20</f>
        <v>0.25</v>
      </c>
      <c r="H34" s="897"/>
      <c r="I34" s="897"/>
      <c r="J34" s="897"/>
      <c r="K34" s="897"/>
      <c r="L34" s="897"/>
      <c r="M34" s="897"/>
      <c r="N34" s="897">
        <v>0</v>
      </c>
      <c r="O34" s="897"/>
      <c r="P34" s="897">
        <f t="shared" ref="P34" si="32">P20</f>
        <v>0</v>
      </c>
      <c r="Q34" s="897">
        <f t="shared" si="18"/>
        <v>0.25</v>
      </c>
      <c r="R34" s="897">
        <f t="shared" ref="R34" si="33">R20</f>
        <v>0.2</v>
      </c>
      <c r="S34" s="897">
        <f t="shared" si="20"/>
        <v>0.2</v>
      </c>
      <c r="T34" s="897">
        <f t="shared" si="21"/>
        <v>0.2</v>
      </c>
      <c r="U34" s="897">
        <f t="shared" si="22"/>
        <v>0.25</v>
      </c>
      <c r="V34" s="897">
        <f t="shared" ref="V34" si="34">V20</f>
        <v>0.35</v>
      </c>
      <c r="W34" s="897">
        <f t="shared" si="24"/>
        <v>0.25</v>
      </c>
      <c r="X34" s="897">
        <f t="shared" si="25"/>
        <v>0.25</v>
      </c>
      <c r="Y34" s="897">
        <f t="shared" si="26"/>
        <v>0.2</v>
      </c>
      <c r="Z34" s="897">
        <f t="shared" si="27"/>
        <v>0.2</v>
      </c>
      <c r="AA34" s="897">
        <f t="shared" si="28"/>
        <v>0.35</v>
      </c>
      <c r="AB34" s="897">
        <f t="shared" si="29"/>
        <v>0.25</v>
      </c>
      <c r="AC34" s="897">
        <f t="shared" si="30"/>
        <v>0.25</v>
      </c>
      <c r="AD34" s="898"/>
      <c r="AE34" s="899"/>
      <c r="AF34" s="900"/>
      <c r="AG34" s="901"/>
      <c r="AH34" s="901"/>
      <c r="AI34" s="902"/>
    </row>
    <row r="35" spans="2:51" ht="28.8" customHeight="1" x14ac:dyDescent="0.3">
      <c r="B35" s="256" t="str">
        <f>'Procesy - AS IS'!B12</f>
        <v>Meranie č. 3</v>
      </c>
      <c r="C35" s="749" t="str">
        <f>'Procesy - AS IS'!$C$12</f>
        <v>BVS, a.s., Mimoriadne zhoršenie vôd, 053/015/2016/BA</v>
      </c>
      <c r="D35" s="872">
        <f>-'Procesy - AS IS'!D14*D48</f>
        <v>0</v>
      </c>
      <c r="E35" s="752">
        <f>-'Procesy - AS IS'!E14*E48</f>
        <v>0</v>
      </c>
      <c r="F35" s="752">
        <f>-'Procesy - AS IS'!F14*F48</f>
        <v>0</v>
      </c>
      <c r="G35" s="752">
        <f>-'Procesy - AS IS'!G14*G48</f>
        <v>-4</v>
      </c>
      <c r="H35" s="752" t="s">
        <v>523</v>
      </c>
      <c r="I35" s="752" t="s">
        <v>523</v>
      </c>
      <c r="J35" s="752" t="s">
        <v>523</v>
      </c>
      <c r="K35" s="752" t="s">
        <v>523</v>
      </c>
      <c r="L35" s="752" t="s">
        <v>523</v>
      </c>
      <c r="M35" s="752" t="s">
        <v>523</v>
      </c>
      <c r="N35" s="752">
        <f>-'Procesy - AS IS'!N14*N48</f>
        <v>0</v>
      </c>
      <c r="O35" s="752" t="s">
        <v>524</v>
      </c>
      <c r="P35" s="752">
        <f>-'Procesy - AS IS'!P14*P48</f>
        <v>0</v>
      </c>
      <c r="Q35" s="752">
        <f>-'Procesy - AS IS'!Q14*Q48</f>
        <v>0</v>
      </c>
      <c r="R35" s="752">
        <f>-'Procesy - AS IS'!R14*R48</f>
        <v>-6.5089005235602091</v>
      </c>
      <c r="S35" s="752">
        <f>-'Procesy - AS IS'!S14*S48</f>
        <v>-3.3507853403141361</v>
      </c>
      <c r="T35" s="752">
        <f>-'Procesy - AS IS'!T14*T48</f>
        <v>-0.69738219895287967</v>
      </c>
      <c r="U35" s="752">
        <f>-'Procesy - AS IS'!U14*U48</f>
        <v>-0.83769633507853403</v>
      </c>
      <c r="V35" s="752">
        <f>-'Procesy - AS IS'!V14*V48</f>
        <v>-0.17499999999999999</v>
      </c>
      <c r="W35" s="752">
        <f>-'Procesy - AS IS'!W14*W48</f>
        <v>-0.40837696335078533</v>
      </c>
      <c r="X35" s="752">
        <f>-'Procesy - AS IS'!X14*X48</f>
        <v>0</v>
      </c>
      <c r="Y35" s="752">
        <f>-'Procesy - AS IS'!Y14*Y48</f>
        <v>-1.9602094240837695</v>
      </c>
      <c r="Z35" s="752">
        <f>-'Procesy - AS IS'!Z14*Z48</f>
        <v>0</v>
      </c>
      <c r="AA35" s="752">
        <f>-'Procesy - AS IS'!AA14*AA48</f>
        <v>0</v>
      </c>
      <c r="AB35" s="752">
        <f>-'Procesy - AS IS'!AB14*AB48</f>
        <v>0</v>
      </c>
      <c r="AC35" s="752">
        <f>-'Procesy - AS IS'!AC14*AC48</f>
        <v>0</v>
      </c>
      <c r="AD35" s="903">
        <f>SUM(D35:AC35)</f>
        <v>-17.938350785340315</v>
      </c>
      <c r="AE35" s="880">
        <f>AD35/'Procesy - AS IS'!AD14</f>
        <v>-0.20368130071634519</v>
      </c>
      <c r="AF35" s="881">
        <f>'Procesy - AS IS'!AG14/(1+$AE35)-'Procesy - AS IS'!AG14</f>
        <v>48.853717075610632</v>
      </c>
      <c r="AG35" s="882">
        <f>'Procesy - AS IS'!AH14/(1+$AE35)-'Procesy - AS IS'!AH14</f>
        <v>28.391427201009321</v>
      </c>
      <c r="AH35" s="877">
        <f>'Procesy - AS IS'!AI14/(1+$AE35)-'Procesy - AS IS'!AI14</f>
        <v>19.950732627736272</v>
      </c>
      <c r="AI35" s="878">
        <f>'Procesy - AS IS'!AJ14/(1+$AE35)-'Procesy - AS IS'!AJ14</f>
        <v>0</v>
      </c>
    </row>
    <row r="36" spans="2:51" x14ac:dyDescent="0.3">
      <c r="B36" s="1150" t="s">
        <v>451</v>
      </c>
      <c r="C36" s="766" t="s">
        <v>409</v>
      </c>
      <c r="D36" s="890" t="str">
        <f t="shared" ref="D36:D47" si="35">G7</f>
        <v>A</v>
      </c>
      <c r="E36" s="772" t="s">
        <v>453</v>
      </c>
      <c r="F36" s="890" t="s">
        <v>453</v>
      </c>
      <c r="G36" s="890" t="str">
        <f t="shared" ref="G36:G48" si="36">D36</f>
        <v>A</v>
      </c>
      <c r="H36" s="890"/>
      <c r="I36" s="890"/>
      <c r="J36" s="890"/>
      <c r="K36" s="890"/>
      <c r="L36" s="890"/>
      <c r="M36" s="890"/>
      <c r="N36" s="890" t="str">
        <f t="shared" ref="N36:N48" si="37">G36</f>
        <v>A</v>
      </c>
      <c r="O36" s="890"/>
      <c r="P36" s="890" t="str">
        <f t="shared" ref="P36:Q47" si="38">P7</f>
        <v>N</v>
      </c>
      <c r="Q36" s="890" t="str">
        <f t="shared" si="38"/>
        <v>A</v>
      </c>
      <c r="R36" s="890" t="str">
        <f t="shared" ref="R36:R47" si="39">R22</f>
        <v>A</v>
      </c>
      <c r="S36" s="890" t="str">
        <f t="shared" ref="S36:S48" si="40">R36</f>
        <v>A</v>
      </c>
      <c r="T36" s="890" t="str">
        <f t="shared" ref="T36:T47" si="41">R7</f>
        <v>A</v>
      </c>
      <c r="U36" s="890" t="str">
        <f t="shared" ref="U36:U48" si="42">$G36</f>
        <v>A</v>
      </c>
      <c r="V36" s="890" t="str">
        <f t="shared" ref="V36:V47" si="43">V7</f>
        <v>A</v>
      </c>
      <c r="W36" s="890" t="str">
        <f t="shared" ref="W36:X48" si="44">$G36</f>
        <v>A</v>
      </c>
      <c r="X36" s="890" t="str">
        <f t="shared" si="44"/>
        <v>A</v>
      </c>
      <c r="Y36" s="890" t="str">
        <f t="shared" ref="Y36:Y48" si="45">$R36</f>
        <v>A</v>
      </c>
      <c r="Z36" s="890" t="str">
        <f t="shared" ref="Z36:Z47" si="46">R7</f>
        <v>A</v>
      </c>
      <c r="AA36" s="890" t="str">
        <f t="shared" ref="AA36:AA48" si="47">$V36</f>
        <v>A</v>
      </c>
      <c r="AB36" s="890" t="str">
        <f t="shared" ref="AB36:AC48" si="48">$R36</f>
        <v>A</v>
      </c>
      <c r="AC36" s="890" t="str">
        <f t="shared" si="48"/>
        <v>A</v>
      </c>
      <c r="AD36" s="891"/>
      <c r="AE36" s="884"/>
      <c r="AF36" s="885"/>
      <c r="AG36" s="886"/>
      <c r="AH36" s="887"/>
      <c r="AI36" s="888"/>
    </row>
    <row r="37" spans="2:51" x14ac:dyDescent="0.3">
      <c r="B37" s="1151"/>
      <c r="C37" s="766" t="s">
        <v>411</v>
      </c>
      <c r="D37" s="889" t="str">
        <f t="shared" si="35"/>
        <v>N</v>
      </c>
      <c r="E37" s="890" t="s">
        <v>453</v>
      </c>
      <c r="F37" s="890" t="s">
        <v>453</v>
      </c>
      <c r="G37" s="890" t="str">
        <f t="shared" si="36"/>
        <v>N</v>
      </c>
      <c r="H37" s="890"/>
      <c r="I37" s="890"/>
      <c r="J37" s="890"/>
      <c r="K37" s="890"/>
      <c r="L37" s="890"/>
      <c r="M37" s="890"/>
      <c r="N37" s="890" t="str">
        <f t="shared" si="37"/>
        <v>N</v>
      </c>
      <c r="O37" s="890"/>
      <c r="P37" s="890" t="str">
        <f t="shared" si="38"/>
        <v>N</v>
      </c>
      <c r="Q37" s="890" t="str">
        <f t="shared" si="38"/>
        <v>N</v>
      </c>
      <c r="R37" s="890" t="str">
        <f t="shared" si="39"/>
        <v>N</v>
      </c>
      <c r="S37" s="890" t="str">
        <f t="shared" si="40"/>
        <v>N</v>
      </c>
      <c r="T37" s="890" t="str">
        <f t="shared" si="41"/>
        <v>N</v>
      </c>
      <c r="U37" s="890" t="str">
        <f t="shared" si="42"/>
        <v>N</v>
      </c>
      <c r="V37" s="890" t="str">
        <f t="shared" si="43"/>
        <v>N</v>
      </c>
      <c r="W37" s="890" t="str">
        <f t="shared" si="44"/>
        <v>N</v>
      </c>
      <c r="X37" s="890" t="str">
        <f t="shared" si="44"/>
        <v>N</v>
      </c>
      <c r="Y37" s="890" t="str">
        <f t="shared" si="45"/>
        <v>N</v>
      </c>
      <c r="Z37" s="890" t="str">
        <f t="shared" si="46"/>
        <v>N</v>
      </c>
      <c r="AA37" s="890" t="str">
        <f t="shared" si="47"/>
        <v>N</v>
      </c>
      <c r="AB37" s="890" t="str">
        <f t="shared" si="48"/>
        <v>N</v>
      </c>
      <c r="AC37" s="890" t="str">
        <f t="shared" si="48"/>
        <v>N</v>
      </c>
      <c r="AD37" s="891"/>
      <c r="AE37" s="884"/>
      <c r="AF37" s="885"/>
      <c r="AG37" s="886"/>
      <c r="AH37" s="887"/>
      <c r="AI37" s="888"/>
    </row>
    <row r="38" spans="2:51" x14ac:dyDescent="0.3">
      <c r="B38" s="1151"/>
      <c r="C38" s="766" t="s">
        <v>413</v>
      </c>
      <c r="D38" s="889" t="str">
        <f t="shared" si="35"/>
        <v>N</v>
      </c>
      <c r="E38" s="890" t="s">
        <v>453</v>
      </c>
      <c r="F38" s="890" t="s">
        <v>453</v>
      </c>
      <c r="G38" s="890" t="str">
        <f t="shared" si="36"/>
        <v>N</v>
      </c>
      <c r="H38" s="890"/>
      <c r="I38" s="890"/>
      <c r="J38" s="890"/>
      <c r="K38" s="890"/>
      <c r="L38" s="890"/>
      <c r="M38" s="890"/>
      <c r="N38" s="890" t="str">
        <f t="shared" si="37"/>
        <v>N</v>
      </c>
      <c r="O38" s="890"/>
      <c r="P38" s="890" t="str">
        <f t="shared" si="38"/>
        <v>N</v>
      </c>
      <c r="Q38" s="890" t="str">
        <f t="shared" si="38"/>
        <v>N</v>
      </c>
      <c r="R38" s="890" t="str">
        <f t="shared" si="39"/>
        <v>N</v>
      </c>
      <c r="S38" s="890" t="str">
        <f t="shared" si="40"/>
        <v>N</v>
      </c>
      <c r="T38" s="890" t="str">
        <f t="shared" si="41"/>
        <v>N</v>
      </c>
      <c r="U38" s="890" t="str">
        <f t="shared" si="42"/>
        <v>N</v>
      </c>
      <c r="V38" s="890" t="str">
        <f t="shared" si="43"/>
        <v>N</v>
      </c>
      <c r="W38" s="890" t="str">
        <f t="shared" si="44"/>
        <v>N</v>
      </c>
      <c r="X38" s="890" t="str">
        <f t="shared" si="44"/>
        <v>N</v>
      </c>
      <c r="Y38" s="890" t="str">
        <f t="shared" si="45"/>
        <v>N</v>
      </c>
      <c r="Z38" s="890" t="str">
        <f t="shared" si="46"/>
        <v>N</v>
      </c>
      <c r="AA38" s="890" t="str">
        <f t="shared" si="47"/>
        <v>N</v>
      </c>
      <c r="AB38" s="890" t="str">
        <f t="shared" si="48"/>
        <v>N</v>
      </c>
      <c r="AC38" s="890" t="str">
        <f t="shared" si="48"/>
        <v>N</v>
      </c>
      <c r="AD38" s="891"/>
      <c r="AE38" s="884"/>
      <c r="AF38" s="885"/>
      <c r="AG38" s="886"/>
      <c r="AH38" s="887"/>
      <c r="AI38" s="888"/>
      <c r="AK38" s="252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</row>
    <row r="39" spans="2:51" x14ac:dyDescent="0.3">
      <c r="B39" s="1151"/>
      <c r="C39" s="766" t="s">
        <v>415</v>
      </c>
      <c r="D39" s="892" t="str">
        <f t="shared" si="35"/>
        <v>N</v>
      </c>
      <c r="E39" s="890" t="s">
        <v>453</v>
      </c>
      <c r="F39" s="890" t="s">
        <v>453</v>
      </c>
      <c r="G39" s="890" t="str">
        <f t="shared" si="36"/>
        <v>N</v>
      </c>
      <c r="H39" s="890"/>
      <c r="I39" s="890"/>
      <c r="J39" s="890"/>
      <c r="K39" s="890"/>
      <c r="L39" s="890"/>
      <c r="M39" s="890"/>
      <c r="N39" s="890" t="str">
        <f t="shared" si="37"/>
        <v>N</v>
      </c>
      <c r="O39" s="890"/>
      <c r="P39" s="890" t="str">
        <f t="shared" si="38"/>
        <v>N</v>
      </c>
      <c r="Q39" s="890" t="str">
        <f t="shared" si="38"/>
        <v>N</v>
      </c>
      <c r="R39" s="890" t="str">
        <f t="shared" si="39"/>
        <v>N</v>
      </c>
      <c r="S39" s="890" t="str">
        <f t="shared" si="40"/>
        <v>N</v>
      </c>
      <c r="T39" s="890" t="str">
        <f t="shared" si="41"/>
        <v>N</v>
      </c>
      <c r="U39" s="890" t="str">
        <f t="shared" si="42"/>
        <v>N</v>
      </c>
      <c r="V39" s="890" t="str">
        <f t="shared" si="43"/>
        <v>N</v>
      </c>
      <c r="W39" s="890" t="str">
        <f t="shared" si="44"/>
        <v>N</v>
      </c>
      <c r="X39" s="890" t="str">
        <f t="shared" si="44"/>
        <v>N</v>
      </c>
      <c r="Y39" s="890" t="str">
        <f t="shared" si="45"/>
        <v>N</v>
      </c>
      <c r="Z39" s="890" t="str">
        <f t="shared" si="46"/>
        <v>N</v>
      </c>
      <c r="AA39" s="890" t="str">
        <f t="shared" si="47"/>
        <v>N</v>
      </c>
      <c r="AB39" s="890" t="str">
        <f t="shared" si="48"/>
        <v>N</v>
      </c>
      <c r="AC39" s="890" t="str">
        <f t="shared" si="48"/>
        <v>N</v>
      </c>
      <c r="AD39" s="891"/>
      <c r="AE39" s="884"/>
      <c r="AF39" s="885"/>
      <c r="AG39" s="886"/>
      <c r="AH39" s="887"/>
      <c r="AI39" s="888"/>
      <c r="AK39" s="252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</row>
    <row r="40" spans="2:51" x14ac:dyDescent="0.3">
      <c r="B40" s="1151"/>
      <c r="C40" s="766" t="s">
        <v>417</v>
      </c>
      <c r="D40" s="892" t="str">
        <f t="shared" si="35"/>
        <v>A</v>
      </c>
      <c r="E40" s="890" t="s">
        <v>453</v>
      </c>
      <c r="F40" s="890" t="s">
        <v>453</v>
      </c>
      <c r="G40" s="890" t="str">
        <f t="shared" si="36"/>
        <v>A</v>
      </c>
      <c r="H40" s="890"/>
      <c r="I40" s="890"/>
      <c r="J40" s="890"/>
      <c r="K40" s="890"/>
      <c r="L40" s="890"/>
      <c r="M40" s="890"/>
      <c r="N40" s="890" t="str">
        <f t="shared" si="37"/>
        <v>A</v>
      </c>
      <c r="O40" s="890"/>
      <c r="P40" s="890" t="str">
        <f t="shared" si="38"/>
        <v>N</v>
      </c>
      <c r="Q40" s="890" t="str">
        <f t="shared" si="38"/>
        <v>A</v>
      </c>
      <c r="R40" s="890" t="str">
        <f t="shared" si="39"/>
        <v>A</v>
      </c>
      <c r="S40" s="890" t="str">
        <f t="shared" si="40"/>
        <v>A</v>
      </c>
      <c r="T40" s="890" t="str">
        <f t="shared" si="41"/>
        <v>A</v>
      </c>
      <c r="U40" s="890" t="str">
        <f t="shared" si="42"/>
        <v>A</v>
      </c>
      <c r="V40" s="890" t="str">
        <f t="shared" si="43"/>
        <v>A</v>
      </c>
      <c r="W40" s="890" t="str">
        <f t="shared" si="44"/>
        <v>A</v>
      </c>
      <c r="X40" s="890" t="str">
        <f t="shared" si="44"/>
        <v>A</v>
      </c>
      <c r="Y40" s="890" t="str">
        <f t="shared" si="45"/>
        <v>A</v>
      </c>
      <c r="Z40" s="890" t="str">
        <f t="shared" si="46"/>
        <v>A</v>
      </c>
      <c r="AA40" s="890" t="str">
        <f t="shared" si="47"/>
        <v>A</v>
      </c>
      <c r="AB40" s="890" t="str">
        <f t="shared" si="48"/>
        <v>A</v>
      </c>
      <c r="AC40" s="890" t="str">
        <f t="shared" si="48"/>
        <v>A</v>
      </c>
      <c r="AD40" s="891"/>
      <c r="AE40" s="884"/>
      <c r="AF40" s="885"/>
      <c r="AG40" s="886"/>
      <c r="AH40" s="887"/>
      <c r="AI40" s="888"/>
      <c r="AK40" s="252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</row>
    <row r="41" spans="2:51" x14ac:dyDescent="0.3">
      <c r="B41" s="1151"/>
      <c r="C41" s="766" t="s">
        <v>419</v>
      </c>
      <c r="D41" s="892" t="str">
        <f t="shared" si="35"/>
        <v>A</v>
      </c>
      <c r="E41" s="890" t="s">
        <v>453</v>
      </c>
      <c r="F41" s="890" t="s">
        <v>453</v>
      </c>
      <c r="G41" s="890" t="str">
        <f t="shared" si="36"/>
        <v>A</v>
      </c>
      <c r="H41" s="890"/>
      <c r="I41" s="890"/>
      <c r="J41" s="890"/>
      <c r="K41" s="890"/>
      <c r="L41" s="890"/>
      <c r="M41" s="890"/>
      <c r="N41" s="890" t="str">
        <f t="shared" si="37"/>
        <v>A</v>
      </c>
      <c r="O41" s="890"/>
      <c r="P41" s="890" t="str">
        <f t="shared" si="38"/>
        <v>N</v>
      </c>
      <c r="Q41" s="890" t="str">
        <f t="shared" si="38"/>
        <v>A</v>
      </c>
      <c r="R41" s="890" t="str">
        <f t="shared" si="39"/>
        <v>A</v>
      </c>
      <c r="S41" s="890" t="str">
        <f t="shared" si="40"/>
        <v>A</v>
      </c>
      <c r="T41" s="890" t="str">
        <f t="shared" si="41"/>
        <v>A</v>
      </c>
      <c r="U41" s="890" t="str">
        <f t="shared" si="42"/>
        <v>A</v>
      </c>
      <c r="V41" s="890" t="str">
        <f t="shared" si="43"/>
        <v>A</v>
      </c>
      <c r="W41" s="890" t="str">
        <f t="shared" si="44"/>
        <v>A</v>
      </c>
      <c r="X41" s="890" t="str">
        <f t="shared" si="44"/>
        <v>A</v>
      </c>
      <c r="Y41" s="890" t="str">
        <f t="shared" si="45"/>
        <v>A</v>
      </c>
      <c r="Z41" s="890" t="str">
        <f t="shared" si="46"/>
        <v>A</v>
      </c>
      <c r="AA41" s="890" t="str">
        <f t="shared" si="47"/>
        <v>A</v>
      </c>
      <c r="AB41" s="890" t="str">
        <f t="shared" si="48"/>
        <v>A</v>
      </c>
      <c r="AC41" s="890" t="str">
        <f t="shared" si="48"/>
        <v>A</v>
      </c>
      <c r="AD41" s="891"/>
      <c r="AE41" s="884"/>
      <c r="AF41" s="885"/>
      <c r="AG41" s="886"/>
      <c r="AH41" s="887"/>
      <c r="AI41" s="888"/>
    </row>
    <row r="42" spans="2:51" x14ac:dyDescent="0.3">
      <c r="B42" s="1151"/>
      <c r="C42" s="766" t="s">
        <v>421</v>
      </c>
      <c r="D42" s="892" t="str">
        <f t="shared" si="35"/>
        <v>A</v>
      </c>
      <c r="E42" s="890" t="s">
        <v>453</v>
      </c>
      <c r="F42" s="890" t="s">
        <v>453</v>
      </c>
      <c r="G42" s="890" t="str">
        <f t="shared" si="36"/>
        <v>A</v>
      </c>
      <c r="H42" s="890"/>
      <c r="I42" s="890"/>
      <c r="J42" s="890"/>
      <c r="K42" s="890"/>
      <c r="L42" s="890"/>
      <c r="M42" s="890"/>
      <c r="N42" s="890" t="str">
        <f t="shared" si="37"/>
        <v>A</v>
      </c>
      <c r="O42" s="890"/>
      <c r="P42" s="890" t="str">
        <f t="shared" si="38"/>
        <v>N</v>
      </c>
      <c r="Q42" s="890" t="str">
        <f t="shared" si="38"/>
        <v>A</v>
      </c>
      <c r="R42" s="890" t="str">
        <f t="shared" si="39"/>
        <v>N</v>
      </c>
      <c r="S42" s="890" t="str">
        <f t="shared" si="40"/>
        <v>N</v>
      </c>
      <c r="T42" s="890" t="str">
        <f t="shared" si="41"/>
        <v>N</v>
      </c>
      <c r="U42" s="890" t="str">
        <f t="shared" si="42"/>
        <v>A</v>
      </c>
      <c r="V42" s="890" t="str">
        <f t="shared" si="43"/>
        <v>A</v>
      </c>
      <c r="W42" s="890" t="str">
        <f t="shared" si="44"/>
        <v>A</v>
      </c>
      <c r="X42" s="890" t="str">
        <f t="shared" si="44"/>
        <v>A</v>
      </c>
      <c r="Y42" s="890" t="str">
        <f t="shared" si="45"/>
        <v>N</v>
      </c>
      <c r="Z42" s="890" t="str">
        <f t="shared" si="46"/>
        <v>N</v>
      </c>
      <c r="AA42" s="890" t="str">
        <f t="shared" si="47"/>
        <v>A</v>
      </c>
      <c r="AB42" s="890" t="str">
        <f t="shared" si="48"/>
        <v>N</v>
      </c>
      <c r="AC42" s="890" t="str">
        <f t="shared" si="48"/>
        <v>N</v>
      </c>
      <c r="AD42" s="891"/>
      <c r="AE42" s="884"/>
      <c r="AF42" s="885"/>
      <c r="AG42" s="886"/>
      <c r="AH42" s="887"/>
      <c r="AI42" s="888"/>
    </row>
    <row r="43" spans="2:51" x14ac:dyDescent="0.3">
      <c r="B43" s="1151"/>
      <c r="C43" s="766" t="s">
        <v>423</v>
      </c>
      <c r="D43" s="892" t="str">
        <f t="shared" si="35"/>
        <v>A</v>
      </c>
      <c r="E43" s="890" t="s">
        <v>453</v>
      </c>
      <c r="F43" s="890" t="s">
        <v>453</v>
      </c>
      <c r="G43" s="890" t="str">
        <f t="shared" si="36"/>
        <v>A</v>
      </c>
      <c r="H43" s="890"/>
      <c r="I43" s="890"/>
      <c r="J43" s="890"/>
      <c r="K43" s="890"/>
      <c r="L43" s="890"/>
      <c r="M43" s="890"/>
      <c r="N43" s="890" t="str">
        <f t="shared" si="37"/>
        <v>A</v>
      </c>
      <c r="O43" s="890"/>
      <c r="P43" s="890" t="str">
        <f t="shared" si="38"/>
        <v>N</v>
      </c>
      <c r="Q43" s="890" t="str">
        <f t="shared" si="38"/>
        <v>A</v>
      </c>
      <c r="R43" s="890" t="str">
        <f t="shared" si="39"/>
        <v>N</v>
      </c>
      <c r="S43" s="890" t="str">
        <f t="shared" si="40"/>
        <v>N</v>
      </c>
      <c r="T43" s="890" t="str">
        <f t="shared" si="41"/>
        <v>N</v>
      </c>
      <c r="U43" s="890" t="str">
        <f t="shared" si="42"/>
        <v>A</v>
      </c>
      <c r="V43" s="890" t="str">
        <f t="shared" si="43"/>
        <v>A</v>
      </c>
      <c r="W43" s="890" t="str">
        <f t="shared" si="44"/>
        <v>A</v>
      </c>
      <c r="X43" s="890" t="str">
        <f t="shared" si="44"/>
        <v>A</v>
      </c>
      <c r="Y43" s="890" t="str">
        <f t="shared" si="45"/>
        <v>N</v>
      </c>
      <c r="Z43" s="890" t="str">
        <f t="shared" si="46"/>
        <v>N</v>
      </c>
      <c r="AA43" s="890" t="str">
        <f t="shared" si="47"/>
        <v>A</v>
      </c>
      <c r="AB43" s="890" t="str">
        <f t="shared" si="48"/>
        <v>N</v>
      </c>
      <c r="AC43" s="890" t="str">
        <f t="shared" si="48"/>
        <v>N</v>
      </c>
      <c r="AD43" s="891"/>
      <c r="AE43" s="884"/>
      <c r="AF43" s="885"/>
      <c r="AG43" s="886"/>
      <c r="AH43" s="887"/>
      <c r="AI43" s="888"/>
    </row>
    <row r="44" spans="2:51" x14ac:dyDescent="0.3">
      <c r="B44" s="1151"/>
      <c r="C44" s="766" t="s">
        <v>425</v>
      </c>
      <c r="D44" s="892" t="str">
        <f t="shared" si="35"/>
        <v>N</v>
      </c>
      <c r="E44" s="890" t="s">
        <v>453</v>
      </c>
      <c r="F44" s="890" t="s">
        <v>453</v>
      </c>
      <c r="G44" s="890" t="str">
        <f t="shared" si="36"/>
        <v>N</v>
      </c>
      <c r="H44" s="890"/>
      <c r="I44" s="890"/>
      <c r="J44" s="890"/>
      <c r="K44" s="890"/>
      <c r="L44" s="890"/>
      <c r="M44" s="890"/>
      <c r="N44" s="890" t="str">
        <f t="shared" si="37"/>
        <v>N</v>
      </c>
      <c r="O44" s="890"/>
      <c r="P44" s="890" t="str">
        <f t="shared" si="38"/>
        <v>N</v>
      </c>
      <c r="Q44" s="890" t="str">
        <f t="shared" si="38"/>
        <v>N</v>
      </c>
      <c r="R44" s="890" t="str">
        <f t="shared" si="39"/>
        <v>N</v>
      </c>
      <c r="S44" s="890" t="str">
        <f t="shared" si="40"/>
        <v>N</v>
      </c>
      <c r="T44" s="890" t="str">
        <f t="shared" si="41"/>
        <v>N</v>
      </c>
      <c r="U44" s="890" t="str">
        <f t="shared" si="42"/>
        <v>N</v>
      </c>
      <c r="V44" s="890" t="str">
        <f t="shared" si="43"/>
        <v>A</v>
      </c>
      <c r="W44" s="890" t="str">
        <f t="shared" si="44"/>
        <v>N</v>
      </c>
      <c r="X44" s="890" t="str">
        <f t="shared" si="44"/>
        <v>N</v>
      </c>
      <c r="Y44" s="890" t="str">
        <f t="shared" si="45"/>
        <v>N</v>
      </c>
      <c r="Z44" s="890" t="str">
        <f t="shared" si="46"/>
        <v>N</v>
      </c>
      <c r="AA44" s="890" t="str">
        <f t="shared" si="47"/>
        <v>A</v>
      </c>
      <c r="AB44" s="890" t="str">
        <f t="shared" si="48"/>
        <v>N</v>
      </c>
      <c r="AC44" s="890" t="str">
        <f t="shared" si="48"/>
        <v>N</v>
      </c>
      <c r="AD44" s="891"/>
      <c r="AE44" s="884"/>
      <c r="AF44" s="885"/>
      <c r="AG44" s="886"/>
      <c r="AH44" s="887"/>
      <c r="AI44" s="888"/>
    </row>
    <row r="45" spans="2:51" x14ac:dyDescent="0.3">
      <c r="B45" s="1151"/>
      <c r="C45" s="766" t="s">
        <v>427</v>
      </c>
      <c r="D45" s="892" t="str">
        <f t="shared" si="35"/>
        <v>A</v>
      </c>
      <c r="E45" s="890" t="s">
        <v>453</v>
      </c>
      <c r="F45" s="890" t="s">
        <v>453</v>
      </c>
      <c r="G45" s="890" t="str">
        <f t="shared" si="36"/>
        <v>A</v>
      </c>
      <c r="H45" s="890"/>
      <c r="I45" s="890"/>
      <c r="J45" s="890"/>
      <c r="K45" s="890"/>
      <c r="L45" s="890"/>
      <c r="M45" s="890"/>
      <c r="N45" s="890" t="str">
        <f t="shared" si="37"/>
        <v>A</v>
      </c>
      <c r="O45" s="890"/>
      <c r="P45" s="890" t="str">
        <f t="shared" si="38"/>
        <v>N</v>
      </c>
      <c r="Q45" s="890" t="str">
        <f t="shared" si="38"/>
        <v>A</v>
      </c>
      <c r="R45" s="890" t="str">
        <f t="shared" si="39"/>
        <v>A</v>
      </c>
      <c r="S45" s="890" t="str">
        <f t="shared" si="40"/>
        <v>A</v>
      </c>
      <c r="T45" s="890" t="str">
        <f t="shared" si="41"/>
        <v>A</v>
      </c>
      <c r="U45" s="890" t="str">
        <f t="shared" si="42"/>
        <v>A</v>
      </c>
      <c r="V45" s="890" t="str">
        <f t="shared" si="43"/>
        <v>A</v>
      </c>
      <c r="W45" s="890" t="str">
        <f t="shared" si="44"/>
        <v>A</v>
      </c>
      <c r="X45" s="890" t="str">
        <f t="shared" si="44"/>
        <v>A</v>
      </c>
      <c r="Y45" s="890" t="str">
        <f t="shared" si="45"/>
        <v>A</v>
      </c>
      <c r="Z45" s="890" t="str">
        <f t="shared" si="46"/>
        <v>A</v>
      </c>
      <c r="AA45" s="890" t="str">
        <f t="shared" si="47"/>
        <v>A</v>
      </c>
      <c r="AB45" s="890" t="str">
        <f t="shared" si="48"/>
        <v>A</v>
      </c>
      <c r="AC45" s="890" t="str">
        <f t="shared" si="48"/>
        <v>A</v>
      </c>
      <c r="AD45" s="891"/>
      <c r="AE45" s="884"/>
      <c r="AF45" s="885"/>
      <c r="AG45" s="886"/>
      <c r="AH45" s="887"/>
      <c r="AI45" s="888"/>
    </row>
    <row r="46" spans="2:51" x14ac:dyDescent="0.3">
      <c r="B46" s="1151"/>
      <c r="C46" s="766" t="s">
        <v>429</v>
      </c>
      <c r="D46" s="892" t="str">
        <f t="shared" si="35"/>
        <v>N</v>
      </c>
      <c r="E46" s="890" t="s">
        <v>453</v>
      </c>
      <c r="F46" s="890" t="s">
        <v>453</v>
      </c>
      <c r="G46" s="890" t="str">
        <f t="shared" si="36"/>
        <v>N</v>
      </c>
      <c r="H46" s="890"/>
      <c r="I46" s="890"/>
      <c r="J46" s="890"/>
      <c r="K46" s="890"/>
      <c r="L46" s="890"/>
      <c r="M46" s="890"/>
      <c r="N46" s="890" t="str">
        <f t="shared" si="37"/>
        <v>N</v>
      </c>
      <c r="O46" s="890"/>
      <c r="P46" s="890" t="str">
        <f t="shared" si="38"/>
        <v>N</v>
      </c>
      <c r="Q46" s="890" t="str">
        <f t="shared" si="38"/>
        <v>N</v>
      </c>
      <c r="R46" s="890" t="str">
        <f t="shared" si="39"/>
        <v>N</v>
      </c>
      <c r="S46" s="890" t="str">
        <f t="shared" si="40"/>
        <v>N</v>
      </c>
      <c r="T46" s="890" t="str">
        <f t="shared" si="41"/>
        <v>N</v>
      </c>
      <c r="U46" s="890" t="str">
        <f t="shared" si="42"/>
        <v>N</v>
      </c>
      <c r="V46" s="890" t="str">
        <f t="shared" si="43"/>
        <v>N</v>
      </c>
      <c r="W46" s="890" t="str">
        <f t="shared" si="44"/>
        <v>N</v>
      </c>
      <c r="X46" s="890" t="str">
        <f t="shared" si="44"/>
        <v>N</v>
      </c>
      <c r="Y46" s="890" t="str">
        <f t="shared" si="45"/>
        <v>N</v>
      </c>
      <c r="Z46" s="890" t="str">
        <f t="shared" si="46"/>
        <v>N</v>
      </c>
      <c r="AA46" s="890" t="str">
        <f t="shared" si="47"/>
        <v>N</v>
      </c>
      <c r="AB46" s="890" t="str">
        <f t="shared" si="48"/>
        <v>N</v>
      </c>
      <c r="AC46" s="890" t="str">
        <f t="shared" si="48"/>
        <v>N</v>
      </c>
      <c r="AD46" s="891"/>
      <c r="AE46" s="884"/>
      <c r="AF46" s="885"/>
      <c r="AG46" s="886"/>
      <c r="AH46" s="887"/>
      <c r="AI46" s="888"/>
    </row>
    <row r="47" spans="2:51" x14ac:dyDescent="0.3">
      <c r="B47" s="1151"/>
      <c r="C47" s="770" t="s">
        <v>431</v>
      </c>
      <c r="D47" s="892" t="str">
        <f t="shared" si="35"/>
        <v>N</v>
      </c>
      <c r="E47" s="890" t="s">
        <v>453</v>
      </c>
      <c r="F47" s="890" t="s">
        <v>453</v>
      </c>
      <c r="G47" s="890" t="str">
        <f t="shared" si="36"/>
        <v>N</v>
      </c>
      <c r="H47" s="890"/>
      <c r="I47" s="890"/>
      <c r="J47" s="890"/>
      <c r="K47" s="890"/>
      <c r="L47" s="890"/>
      <c r="M47" s="890"/>
      <c r="N47" s="890" t="str">
        <f t="shared" si="37"/>
        <v>N</v>
      </c>
      <c r="O47" s="890"/>
      <c r="P47" s="890" t="str">
        <f t="shared" si="38"/>
        <v>N</v>
      </c>
      <c r="Q47" s="890" t="str">
        <f t="shared" si="38"/>
        <v>N</v>
      </c>
      <c r="R47" s="890" t="str">
        <f t="shared" si="39"/>
        <v>A</v>
      </c>
      <c r="S47" s="890" t="str">
        <f t="shared" si="40"/>
        <v>A</v>
      </c>
      <c r="T47" s="890" t="str">
        <f t="shared" si="41"/>
        <v>A</v>
      </c>
      <c r="U47" s="890" t="str">
        <f t="shared" si="42"/>
        <v>N</v>
      </c>
      <c r="V47" s="890" t="str">
        <f t="shared" si="43"/>
        <v>A</v>
      </c>
      <c r="W47" s="890" t="str">
        <f t="shared" si="44"/>
        <v>N</v>
      </c>
      <c r="X47" s="890" t="str">
        <f t="shared" si="44"/>
        <v>N</v>
      </c>
      <c r="Y47" s="890" t="str">
        <f t="shared" si="45"/>
        <v>A</v>
      </c>
      <c r="Z47" s="890" t="str">
        <f t="shared" si="46"/>
        <v>A</v>
      </c>
      <c r="AA47" s="890" t="str">
        <f t="shared" si="47"/>
        <v>A</v>
      </c>
      <c r="AB47" s="890" t="str">
        <f t="shared" si="48"/>
        <v>A</v>
      </c>
      <c r="AC47" s="890" t="str">
        <f t="shared" si="48"/>
        <v>A</v>
      </c>
      <c r="AD47" s="891"/>
      <c r="AE47" s="884"/>
      <c r="AF47" s="885"/>
      <c r="AG47" s="886"/>
      <c r="AH47" s="887"/>
      <c r="AI47" s="888"/>
    </row>
    <row r="48" spans="2:51" x14ac:dyDescent="0.3">
      <c r="B48" s="893"/>
      <c r="C48" s="894" t="s">
        <v>461</v>
      </c>
      <c r="D48" s="895">
        <f t="shared" ref="D48" si="49">G20</f>
        <v>0.25</v>
      </c>
      <c r="E48" s="896">
        <v>0</v>
      </c>
      <c r="F48" s="897">
        <v>0</v>
      </c>
      <c r="G48" s="897">
        <f t="shared" si="36"/>
        <v>0.25</v>
      </c>
      <c r="H48" s="897"/>
      <c r="I48" s="897"/>
      <c r="J48" s="897"/>
      <c r="K48" s="897"/>
      <c r="L48" s="897"/>
      <c r="M48" s="897"/>
      <c r="N48" s="897">
        <f t="shared" si="37"/>
        <v>0.25</v>
      </c>
      <c r="O48" s="897"/>
      <c r="P48" s="897">
        <f t="shared" ref="P48:Q48" si="50">P20</f>
        <v>0</v>
      </c>
      <c r="Q48" s="897">
        <f t="shared" si="50"/>
        <v>0.25</v>
      </c>
      <c r="R48" s="897">
        <f>R34</f>
        <v>0.2</v>
      </c>
      <c r="S48" s="897">
        <f t="shared" si="40"/>
        <v>0.2</v>
      </c>
      <c r="T48" s="897">
        <f t="shared" ref="T48" si="51">R20</f>
        <v>0.2</v>
      </c>
      <c r="U48" s="897">
        <f t="shared" si="42"/>
        <v>0.25</v>
      </c>
      <c r="V48" s="897">
        <f t="shared" ref="V48" si="52">V20</f>
        <v>0.35</v>
      </c>
      <c r="W48" s="897">
        <f t="shared" si="44"/>
        <v>0.25</v>
      </c>
      <c r="X48" s="897">
        <f t="shared" si="44"/>
        <v>0.25</v>
      </c>
      <c r="Y48" s="897">
        <f t="shared" si="45"/>
        <v>0.2</v>
      </c>
      <c r="Z48" s="897">
        <f t="shared" ref="Z48" si="53">R20</f>
        <v>0.2</v>
      </c>
      <c r="AA48" s="897">
        <f t="shared" si="47"/>
        <v>0.35</v>
      </c>
      <c r="AB48" s="897">
        <f t="shared" si="48"/>
        <v>0.2</v>
      </c>
      <c r="AC48" s="897">
        <f t="shared" si="48"/>
        <v>0.2</v>
      </c>
      <c r="AD48" s="898"/>
      <c r="AE48" s="899"/>
      <c r="AF48" s="900"/>
      <c r="AG48" s="901"/>
      <c r="AH48" s="901"/>
      <c r="AI48" s="902"/>
    </row>
    <row r="49" spans="2:51" ht="42" customHeight="1" x14ac:dyDescent="0.3">
      <c r="B49" s="256" t="str">
        <f>'Procesy - AS IS'!B15</f>
        <v>Meranie č. 4</v>
      </c>
      <c r="C49" s="749" t="str">
        <f>'Procesy - AS IS'!$C$15</f>
        <v>VOLKSWAGEN, SLOVAKIA, a.s., Prevencia závažných priemyselných havárií, 5220/2018</v>
      </c>
      <c r="D49" s="872">
        <f>-'Procesy - AS IS'!D17*D62</f>
        <v>0</v>
      </c>
      <c r="E49" s="752">
        <f>-'Procesy - AS IS'!E17*E62</f>
        <v>0</v>
      </c>
      <c r="F49" s="752">
        <f>-'Procesy - AS IS'!F17*F62</f>
        <v>-0.8</v>
      </c>
      <c r="G49" s="752">
        <f>-'Procesy - AS IS'!G17*G62</f>
        <v>-3.5</v>
      </c>
      <c r="H49" s="752" t="s">
        <v>523</v>
      </c>
      <c r="I49" s="752" t="s">
        <v>523</v>
      </c>
      <c r="J49" s="752" t="s">
        <v>523</v>
      </c>
      <c r="K49" s="752" t="s">
        <v>523</v>
      </c>
      <c r="L49" s="752" t="s">
        <v>523</v>
      </c>
      <c r="M49" s="752" t="s">
        <v>523</v>
      </c>
      <c r="N49" s="752">
        <f>-'Procesy - AS IS'!N17*N62</f>
        <v>0</v>
      </c>
      <c r="O49" s="752" t="s">
        <v>524</v>
      </c>
      <c r="P49" s="752">
        <f>-'Procesy - AS IS'!P17*P62</f>
        <v>0</v>
      </c>
      <c r="Q49" s="752">
        <f>-'Procesy - AS IS'!Q17*Q62</f>
        <v>0</v>
      </c>
      <c r="R49" s="752">
        <f>-'Procesy - AS IS'!R17*R62</f>
        <v>-1.4915254237288136</v>
      </c>
      <c r="S49" s="752">
        <f>-'Procesy - AS IS'!S17*S62</f>
        <v>-6.5084745762711869</v>
      </c>
      <c r="T49" s="752">
        <f>-'Procesy - AS IS'!T17*T62</f>
        <v>-0.59661016949152545</v>
      </c>
      <c r="U49" s="752">
        <f>-'Procesy - AS IS'!U17*U62</f>
        <v>-1.6271186440677967</v>
      </c>
      <c r="V49" s="752">
        <f>-'Procesy - AS IS'!V17*V62</f>
        <v>-2.8</v>
      </c>
      <c r="W49" s="752">
        <f>-'Procesy - AS IS'!W17*W62</f>
        <v>-0.1864406779661017</v>
      </c>
      <c r="X49" s="752">
        <f>-'Procesy - AS IS'!X17*X62</f>
        <v>0</v>
      </c>
      <c r="Y49" s="752">
        <f>-'Procesy - AS IS'!Y17*Y62</f>
        <v>-0.89491525423728824</v>
      </c>
      <c r="Z49" s="752">
        <f>-'Procesy - AS IS'!Z17*Z62</f>
        <v>-2.7118644067796613E-2</v>
      </c>
      <c r="AA49" s="752">
        <f>-'Procesy - AS IS'!AA17*AA62</f>
        <v>-2.3728813559322031E-2</v>
      </c>
      <c r="AB49" s="752">
        <f>-'Procesy - AS IS'!AB17*AB62</f>
        <v>-0.16949152542372881</v>
      </c>
      <c r="AC49" s="752">
        <f>-'Procesy - AS IS'!AC17*AC62</f>
        <v>-0.37966101694915255</v>
      </c>
      <c r="AD49" s="903">
        <f>SUM(D49:AC49)</f>
        <v>-19.005084745762719</v>
      </c>
      <c r="AE49" s="880">
        <f>AD49/'Procesy - AS IS'!AD17</f>
        <v>-0.21722200697404115</v>
      </c>
      <c r="AF49" s="881">
        <f>'Procesy - AS IS'!AG17/(1+$AE49)-'Procesy - AS IS'!AG17</f>
        <v>16.372583958225064</v>
      </c>
      <c r="AG49" s="882">
        <f>'Procesy - AS IS'!AH17/(1+$AE49)-'Procesy - AS IS'!AH17</f>
        <v>3.0525156532284026</v>
      </c>
      <c r="AH49" s="877">
        <f>'Procesy - AS IS'!AI17/(1+$AE49)-'Procesy - AS IS'!AI17</f>
        <v>3.0525156532284026</v>
      </c>
      <c r="AI49" s="878">
        <f>'Procesy - AS IS'!AJ17/(1+$AE49)-'Procesy - AS IS'!AJ17</f>
        <v>0.5550028460415275</v>
      </c>
    </row>
    <row r="50" spans="2:51" x14ac:dyDescent="0.3">
      <c r="B50" s="1150" t="s">
        <v>451</v>
      </c>
      <c r="C50" s="766" t="s">
        <v>409</v>
      </c>
      <c r="D50" s="771" t="s">
        <v>453</v>
      </c>
      <c r="E50" s="772" t="s">
        <v>453</v>
      </c>
      <c r="F50" s="890" t="str">
        <f t="shared" ref="F50:F61" si="54">R7</f>
        <v>A</v>
      </c>
      <c r="G50" s="890" t="str">
        <f t="shared" ref="G50:G61" si="55">G7</f>
        <v>A</v>
      </c>
      <c r="H50" s="890"/>
      <c r="I50" s="890"/>
      <c r="J50" s="890"/>
      <c r="K50" s="890"/>
      <c r="L50" s="890"/>
      <c r="M50" s="890"/>
      <c r="N50" s="890" t="s">
        <v>453</v>
      </c>
      <c r="O50" s="890"/>
      <c r="P50" s="890" t="str">
        <f t="shared" ref="P50:R61" si="56">P7</f>
        <v>N</v>
      </c>
      <c r="Q50" s="890" t="str">
        <f t="shared" si="56"/>
        <v>A</v>
      </c>
      <c r="R50" s="890" t="str">
        <f t="shared" si="56"/>
        <v>A</v>
      </c>
      <c r="S50" s="890" t="str">
        <f t="shared" ref="S50:S62" si="57">R50</f>
        <v>A</v>
      </c>
      <c r="T50" s="890" t="str">
        <f t="shared" ref="T50:T62" si="58">R50</f>
        <v>A</v>
      </c>
      <c r="U50" s="890" t="str">
        <f t="shared" ref="U50:U62" si="59">G36</f>
        <v>A</v>
      </c>
      <c r="V50" s="890" t="str">
        <f t="shared" ref="V50:V61" si="60">V7</f>
        <v>A</v>
      </c>
      <c r="W50" s="890" t="str">
        <f t="shared" ref="W50:W62" si="61">G50</f>
        <v>A</v>
      </c>
      <c r="X50" s="890" t="str">
        <f t="shared" ref="X50:X62" si="62">G50</f>
        <v>A</v>
      </c>
      <c r="Y50" s="890" t="str">
        <f t="shared" ref="Y50:Y62" si="63">R50</f>
        <v>A</v>
      </c>
      <c r="Z50" s="890" t="str">
        <f t="shared" ref="Z50:Z62" si="64">R50</f>
        <v>A</v>
      </c>
      <c r="AA50" s="890" t="str">
        <f t="shared" ref="AA50:AA62" si="65">$V50</f>
        <v>A</v>
      </c>
      <c r="AB50" s="890" t="str">
        <f t="shared" ref="AB50:AB62" si="66">G50</f>
        <v>A</v>
      </c>
      <c r="AC50" s="890" t="str">
        <f t="shared" ref="AC50:AC62" si="67">R50</f>
        <v>A</v>
      </c>
      <c r="AD50" s="891"/>
      <c r="AE50" s="884"/>
      <c r="AF50" s="885"/>
      <c r="AG50" s="886"/>
      <c r="AH50" s="887"/>
      <c r="AI50" s="888"/>
    </row>
    <row r="51" spans="2:51" x14ac:dyDescent="0.3">
      <c r="B51" s="1151"/>
      <c r="C51" s="766" t="s">
        <v>411</v>
      </c>
      <c r="D51" s="889" t="s">
        <v>453</v>
      </c>
      <c r="E51" s="890" t="s">
        <v>453</v>
      </c>
      <c r="F51" s="890" t="str">
        <f t="shared" si="54"/>
        <v>N</v>
      </c>
      <c r="G51" s="890" t="str">
        <f t="shared" si="55"/>
        <v>N</v>
      </c>
      <c r="H51" s="890"/>
      <c r="I51" s="890"/>
      <c r="J51" s="890"/>
      <c r="K51" s="890"/>
      <c r="L51" s="890"/>
      <c r="M51" s="890"/>
      <c r="N51" s="890" t="s">
        <v>453</v>
      </c>
      <c r="O51" s="890"/>
      <c r="P51" s="890" t="str">
        <f t="shared" si="56"/>
        <v>N</v>
      </c>
      <c r="Q51" s="890" t="str">
        <f t="shared" si="56"/>
        <v>N</v>
      </c>
      <c r="R51" s="890" t="str">
        <f t="shared" si="56"/>
        <v>N</v>
      </c>
      <c r="S51" s="890" t="str">
        <f t="shared" si="57"/>
        <v>N</v>
      </c>
      <c r="T51" s="890" t="str">
        <f t="shared" si="58"/>
        <v>N</v>
      </c>
      <c r="U51" s="890" t="str">
        <f t="shared" si="59"/>
        <v>N</v>
      </c>
      <c r="V51" s="890" t="str">
        <f t="shared" si="60"/>
        <v>N</v>
      </c>
      <c r="W51" s="890" t="str">
        <f t="shared" si="61"/>
        <v>N</v>
      </c>
      <c r="X51" s="890" t="str">
        <f t="shared" si="62"/>
        <v>N</v>
      </c>
      <c r="Y51" s="890" t="str">
        <f t="shared" si="63"/>
        <v>N</v>
      </c>
      <c r="Z51" s="890" t="str">
        <f t="shared" si="64"/>
        <v>N</v>
      </c>
      <c r="AA51" s="890" t="str">
        <f t="shared" si="65"/>
        <v>N</v>
      </c>
      <c r="AB51" s="890" t="str">
        <f t="shared" si="66"/>
        <v>N</v>
      </c>
      <c r="AC51" s="890" t="str">
        <f t="shared" si="67"/>
        <v>N</v>
      </c>
      <c r="AD51" s="891"/>
      <c r="AE51" s="884"/>
      <c r="AF51" s="885"/>
      <c r="AG51" s="886"/>
      <c r="AH51" s="887"/>
      <c r="AI51" s="888"/>
    </row>
    <row r="52" spans="2:51" x14ac:dyDescent="0.3">
      <c r="B52" s="1151"/>
      <c r="C52" s="766" t="s">
        <v>413</v>
      </c>
      <c r="D52" s="889" t="s">
        <v>453</v>
      </c>
      <c r="E52" s="890" t="s">
        <v>453</v>
      </c>
      <c r="F52" s="890" t="str">
        <f t="shared" si="54"/>
        <v>N</v>
      </c>
      <c r="G52" s="890" t="str">
        <f t="shared" si="55"/>
        <v>N</v>
      </c>
      <c r="H52" s="890"/>
      <c r="I52" s="890"/>
      <c r="J52" s="890"/>
      <c r="K52" s="890"/>
      <c r="L52" s="890"/>
      <c r="M52" s="890"/>
      <c r="N52" s="890" t="s">
        <v>453</v>
      </c>
      <c r="O52" s="890"/>
      <c r="P52" s="890" t="str">
        <f t="shared" si="56"/>
        <v>N</v>
      </c>
      <c r="Q52" s="890" t="str">
        <f t="shared" si="56"/>
        <v>N</v>
      </c>
      <c r="R52" s="890" t="str">
        <f t="shared" si="56"/>
        <v>N</v>
      </c>
      <c r="S52" s="890" t="str">
        <f t="shared" si="57"/>
        <v>N</v>
      </c>
      <c r="T52" s="890" t="str">
        <f t="shared" si="58"/>
        <v>N</v>
      </c>
      <c r="U52" s="890" t="str">
        <f t="shared" si="59"/>
        <v>N</v>
      </c>
      <c r="V52" s="890" t="str">
        <f t="shared" si="60"/>
        <v>N</v>
      </c>
      <c r="W52" s="890" t="str">
        <f t="shared" si="61"/>
        <v>N</v>
      </c>
      <c r="X52" s="890" t="str">
        <f t="shared" si="62"/>
        <v>N</v>
      </c>
      <c r="Y52" s="890" t="str">
        <f t="shared" si="63"/>
        <v>N</v>
      </c>
      <c r="Z52" s="890" t="str">
        <f t="shared" si="64"/>
        <v>N</v>
      </c>
      <c r="AA52" s="890" t="str">
        <f t="shared" si="65"/>
        <v>N</v>
      </c>
      <c r="AB52" s="890" t="str">
        <f t="shared" si="66"/>
        <v>N</v>
      </c>
      <c r="AC52" s="890" t="str">
        <f t="shared" si="67"/>
        <v>N</v>
      </c>
      <c r="AD52" s="891"/>
      <c r="AE52" s="884"/>
      <c r="AF52" s="885"/>
      <c r="AG52" s="886"/>
      <c r="AH52" s="887"/>
      <c r="AI52" s="888"/>
    </row>
    <row r="53" spans="2:51" x14ac:dyDescent="0.3">
      <c r="B53" s="1151"/>
      <c r="C53" s="766" t="s">
        <v>415</v>
      </c>
      <c r="D53" s="892" t="s">
        <v>453</v>
      </c>
      <c r="E53" s="890" t="s">
        <v>453</v>
      </c>
      <c r="F53" s="890" t="str">
        <f t="shared" si="54"/>
        <v>N</v>
      </c>
      <c r="G53" s="890" t="str">
        <f t="shared" si="55"/>
        <v>N</v>
      </c>
      <c r="H53" s="890"/>
      <c r="I53" s="890"/>
      <c r="J53" s="890"/>
      <c r="K53" s="890"/>
      <c r="L53" s="890"/>
      <c r="M53" s="890"/>
      <c r="N53" s="890" t="s">
        <v>453</v>
      </c>
      <c r="O53" s="890"/>
      <c r="P53" s="890" t="str">
        <f t="shared" si="56"/>
        <v>N</v>
      </c>
      <c r="Q53" s="890" t="str">
        <f t="shared" si="56"/>
        <v>N</v>
      </c>
      <c r="R53" s="890" t="str">
        <f t="shared" si="56"/>
        <v>N</v>
      </c>
      <c r="S53" s="890" t="str">
        <f t="shared" si="57"/>
        <v>N</v>
      </c>
      <c r="T53" s="890" t="str">
        <f t="shared" si="58"/>
        <v>N</v>
      </c>
      <c r="U53" s="890" t="str">
        <f t="shared" si="59"/>
        <v>N</v>
      </c>
      <c r="V53" s="890" t="str">
        <f t="shared" si="60"/>
        <v>N</v>
      </c>
      <c r="W53" s="890" t="str">
        <f t="shared" si="61"/>
        <v>N</v>
      </c>
      <c r="X53" s="890" t="str">
        <f t="shared" si="62"/>
        <v>N</v>
      </c>
      <c r="Y53" s="890" t="str">
        <f t="shared" si="63"/>
        <v>N</v>
      </c>
      <c r="Z53" s="890" t="str">
        <f t="shared" si="64"/>
        <v>N</v>
      </c>
      <c r="AA53" s="890" t="str">
        <f t="shared" si="65"/>
        <v>N</v>
      </c>
      <c r="AB53" s="890" t="str">
        <f t="shared" si="66"/>
        <v>N</v>
      </c>
      <c r="AC53" s="890" t="str">
        <f t="shared" si="67"/>
        <v>N</v>
      </c>
      <c r="AD53" s="891"/>
      <c r="AE53" s="884"/>
      <c r="AF53" s="885"/>
      <c r="AG53" s="886"/>
      <c r="AH53" s="887"/>
      <c r="AI53" s="888"/>
    </row>
    <row r="54" spans="2:51" x14ac:dyDescent="0.3">
      <c r="B54" s="1151"/>
      <c r="C54" s="766" t="s">
        <v>417</v>
      </c>
      <c r="D54" s="892" t="s">
        <v>453</v>
      </c>
      <c r="E54" s="890" t="s">
        <v>453</v>
      </c>
      <c r="F54" s="890" t="str">
        <f t="shared" si="54"/>
        <v>A</v>
      </c>
      <c r="G54" s="890" t="str">
        <f t="shared" si="55"/>
        <v>A</v>
      </c>
      <c r="H54" s="890"/>
      <c r="I54" s="890"/>
      <c r="J54" s="890"/>
      <c r="K54" s="890"/>
      <c r="L54" s="890"/>
      <c r="M54" s="890"/>
      <c r="N54" s="890" t="s">
        <v>453</v>
      </c>
      <c r="O54" s="890"/>
      <c r="P54" s="890" t="str">
        <f t="shared" si="56"/>
        <v>N</v>
      </c>
      <c r="Q54" s="890" t="str">
        <f t="shared" si="56"/>
        <v>A</v>
      </c>
      <c r="R54" s="890" t="str">
        <f t="shared" si="56"/>
        <v>A</v>
      </c>
      <c r="S54" s="890" t="str">
        <f t="shared" si="57"/>
        <v>A</v>
      </c>
      <c r="T54" s="890" t="str">
        <f t="shared" si="58"/>
        <v>A</v>
      </c>
      <c r="U54" s="890" t="str">
        <f t="shared" si="59"/>
        <v>A</v>
      </c>
      <c r="V54" s="890" t="str">
        <f t="shared" si="60"/>
        <v>A</v>
      </c>
      <c r="W54" s="890" t="str">
        <f t="shared" si="61"/>
        <v>A</v>
      </c>
      <c r="X54" s="890" t="str">
        <f t="shared" si="62"/>
        <v>A</v>
      </c>
      <c r="Y54" s="890" t="str">
        <f t="shared" si="63"/>
        <v>A</v>
      </c>
      <c r="Z54" s="890" t="str">
        <f t="shared" si="64"/>
        <v>A</v>
      </c>
      <c r="AA54" s="890" t="str">
        <f t="shared" si="65"/>
        <v>A</v>
      </c>
      <c r="AB54" s="890" t="str">
        <f t="shared" si="66"/>
        <v>A</v>
      </c>
      <c r="AC54" s="890" t="str">
        <f t="shared" si="67"/>
        <v>A</v>
      </c>
      <c r="AD54" s="891"/>
      <c r="AE54" s="884"/>
      <c r="AF54" s="885"/>
      <c r="AG54" s="886"/>
      <c r="AH54" s="887"/>
      <c r="AI54" s="888"/>
      <c r="AK54" s="252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</row>
    <row r="55" spans="2:51" x14ac:dyDescent="0.3">
      <c r="B55" s="1151"/>
      <c r="C55" s="766" t="s">
        <v>419</v>
      </c>
      <c r="D55" s="892" t="s">
        <v>453</v>
      </c>
      <c r="E55" s="890" t="s">
        <v>453</v>
      </c>
      <c r="F55" s="890" t="str">
        <f t="shared" si="54"/>
        <v>A</v>
      </c>
      <c r="G55" s="890" t="str">
        <f t="shared" si="55"/>
        <v>A</v>
      </c>
      <c r="H55" s="890"/>
      <c r="I55" s="890"/>
      <c r="J55" s="890"/>
      <c r="K55" s="890"/>
      <c r="L55" s="890"/>
      <c r="M55" s="890"/>
      <c r="N55" s="890" t="s">
        <v>453</v>
      </c>
      <c r="O55" s="890"/>
      <c r="P55" s="890" t="str">
        <f t="shared" si="56"/>
        <v>N</v>
      </c>
      <c r="Q55" s="890" t="str">
        <f t="shared" si="56"/>
        <v>A</v>
      </c>
      <c r="R55" s="890" t="str">
        <f t="shared" si="56"/>
        <v>A</v>
      </c>
      <c r="S55" s="890" t="str">
        <f t="shared" si="57"/>
        <v>A</v>
      </c>
      <c r="T55" s="890" t="str">
        <f t="shared" si="58"/>
        <v>A</v>
      </c>
      <c r="U55" s="890" t="str">
        <f t="shared" si="59"/>
        <v>A</v>
      </c>
      <c r="V55" s="890" t="str">
        <f t="shared" si="60"/>
        <v>A</v>
      </c>
      <c r="W55" s="890" t="str">
        <f t="shared" si="61"/>
        <v>A</v>
      </c>
      <c r="X55" s="890" t="str">
        <f t="shared" si="62"/>
        <v>A</v>
      </c>
      <c r="Y55" s="890" t="str">
        <f t="shared" si="63"/>
        <v>A</v>
      </c>
      <c r="Z55" s="890" t="str">
        <f t="shared" si="64"/>
        <v>A</v>
      </c>
      <c r="AA55" s="890" t="str">
        <f t="shared" si="65"/>
        <v>A</v>
      </c>
      <c r="AB55" s="890" t="str">
        <f t="shared" si="66"/>
        <v>A</v>
      </c>
      <c r="AC55" s="890" t="str">
        <f t="shared" si="67"/>
        <v>A</v>
      </c>
      <c r="AD55" s="891"/>
      <c r="AE55" s="884"/>
      <c r="AF55" s="885"/>
      <c r="AG55" s="886"/>
      <c r="AH55" s="887"/>
      <c r="AI55" s="888"/>
      <c r="AK55" s="252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</row>
    <row r="56" spans="2:51" x14ac:dyDescent="0.3">
      <c r="B56" s="1151"/>
      <c r="C56" s="766" t="s">
        <v>421</v>
      </c>
      <c r="D56" s="892" t="s">
        <v>453</v>
      </c>
      <c r="E56" s="890" t="s">
        <v>453</v>
      </c>
      <c r="F56" s="890" t="str">
        <f t="shared" si="54"/>
        <v>N</v>
      </c>
      <c r="G56" s="890" t="str">
        <f t="shared" si="55"/>
        <v>A</v>
      </c>
      <c r="H56" s="890"/>
      <c r="I56" s="890"/>
      <c r="J56" s="890"/>
      <c r="K56" s="890"/>
      <c r="L56" s="890"/>
      <c r="M56" s="890"/>
      <c r="N56" s="890" t="s">
        <v>453</v>
      </c>
      <c r="O56" s="890"/>
      <c r="P56" s="890" t="str">
        <f t="shared" si="56"/>
        <v>N</v>
      </c>
      <c r="Q56" s="890" t="str">
        <f t="shared" si="56"/>
        <v>A</v>
      </c>
      <c r="R56" s="890" t="str">
        <f t="shared" si="56"/>
        <v>N</v>
      </c>
      <c r="S56" s="890" t="str">
        <f t="shared" si="57"/>
        <v>N</v>
      </c>
      <c r="T56" s="890" t="str">
        <f t="shared" si="58"/>
        <v>N</v>
      </c>
      <c r="U56" s="890" t="str">
        <f t="shared" si="59"/>
        <v>A</v>
      </c>
      <c r="V56" s="890" t="str">
        <f t="shared" si="60"/>
        <v>A</v>
      </c>
      <c r="W56" s="890" t="str">
        <f t="shared" si="61"/>
        <v>A</v>
      </c>
      <c r="X56" s="890" t="str">
        <f t="shared" si="62"/>
        <v>A</v>
      </c>
      <c r="Y56" s="890" t="str">
        <f t="shared" si="63"/>
        <v>N</v>
      </c>
      <c r="Z56" s="890" t="str">
        <f t="shared" si="64"/>
        <v>N</v>
      </c>
      <c r="AA56" s="890" t="str">
        <f t="shared" si="65"/>
        <v>A</v>
      </c>
      <c r="AB56" s="890" t="str">
        <f t="shared" si="66"/>
        <v>A</v>
      </c>
      <c r="AC56" s="890" t="str">
        <f t="shared" si="67"/>
        <v>N</v>
      </c>
      <c r="AD56" s="891"/>
      <c r="AE56" s="884"/>
      <c r="AF56" s="885"/>
      <c r="AG56" s="886"/>
      <c r="AH56" s="887"/>
      <c r="AI56" s="888"/>
      <c r="AK56" s="252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</row>
    <row r="57" spans="2:51" x14ac:dyDescent="0.3">
      <c r="B57" s="1151"/>
      <c r="C57" s="766" t="s">
        <v>423</v>
      </c>
      <c r="D57" s="892" t="s">
        <v>453</v>
      </c>
      <c r="E57" s="890" t="s">
        <v>453</v>
      </c>
      <c r="F57" s="890" t="str">
        <f t="shared" si="54"/>
        <v>N</v>
      </c>
      <c r="G57" s="890" t="str">
        <f t="shared" si="55"/>
        <v>A</v>
      </c>
      <c r="H57" s="890"/>
      <c r="I57" s="890"/>
      <c r="J57" s="890"/>
      <c r="K57" s="890"/>
      <c r="L57" s="890"/>
      <c r="M57" s="890"/>
      <c r="N57" s="890" t="s">
        <v>453</v>
      </c>
      <c r="O57" s="890"/>
      <c r="P57" s="890" t="str">
        <f t="shared" si="56"/>
        <v>N</v>
      </c>
      <c r="Q57" s="890" t="str">
        <f t="shared" si="56"/>
        <v>A</v>
      </c>
      <c r="R57" s="890" t="str">
        <f t="shared" si="56"/>
        <v>N</v>
      </c>
      <c r="S57" s="890" t="str">
        <f t="shared" si="57"/>
        <v>N</v>
      </c>
      <c r="T57" s="890" t="str">
        <f t="shared" si="58"/>
        <v>N</v>
      </c>
      <c r="U57" s="890" t="str">
        <f t="shared" si="59"/>
        <v>A</v>
      </c>
      <c r="V57" s="890" t="str">
        <f t="shared" si="60"/>
        <v>A</v>
      </c>
      <c r="W57" s="890" t="str">
        <f t="shared" si="61"/>
        <v>A</v>
      </c>
      <c r="X57" s="890" t="str">
        <f t="shared" si="62"/>
        <v>A</v>
      </c>
      <c r="Y57" s="890" t="str">
        <f t="shared" si="63"/>
        <v>N</v>
      </c>
      <c r="Z57" s="890" t="str">
        <f t="shared" si="64"/>
        <v>N</v>
      </c>
      <c r="AA57" s="890" t="str">
        <f t="shared" si="65"/>
        <v>A</v>
      </c>
      <c r="AB57" s="890" t="str">
        <f t="shared" si="66"/>
        <v>A</v>
      </c>
      <c r="AC57" s="890" t="str">
        <f t="shared" si="67"/>
        <v>N</v>
      </c>
      <c r="AD57" s="891"/>
      <c r="AE57" s="884"/>
      <c r="AF57" s="885"/>
      <c r="AG57" s="886"/>
      <c r="AH57" s="887"/>
      <c r="AI57" s="888"/>
    </row>
    <row r="58" spans="2:51" x14ac:dyDescent="0.3">
      <c r="B58" s="1151"/>
      <c r="C58" s="766" t="s">
        <v>425</v>
      </c>
      <c r="D58" s="892" t="s">
        <v>453</v>
      </c>
      <c r="E58" s="890" t="s">
        <v>453</v>
      </c>
      <c r="F58" s="890" t="str">
        <f t="shared" si="54"/>
        <v>N</v>
      </c>
      <c r="G58" s="890" t="str">
        <f t="shared" si="55"/>
        <v>N</v>
      </c>
      <c r="H58" s="890"/>
      <c r="I58" s="890"/>
      <c r="J58" s="890"/>
      <c r="K58" s="890"/>
      <c r="L58" s="890"/>
      <c r="M58" s="890"/>
      <c r="N58" s="890" t="s">
        <v>453</v>
      </c>
      <c r="O58" s="890"/>
      <c r="P58" s="890" t="str">
        <f t="shared" si="56"/>
        <v>N</v>
      </c>
      <c r="Q58" s="890" t="str">
        <f t="shared" si="56"/>
        <v>N</v>
      </c>
      <c r="R58" s="890" t="str">
        <f t="shared" si="56"/>
        <v>N</v>
      </c>
      <c r="S58" s="890" t="str">
        <f t="shared" si="57"/>
        <v>N</v>
      </c>
      <c r="T58" s="890" t="str">
        <f t="shared" si="58"/>
        <v>N</v>
      </c>
      <c r="U58" s="890" t="str">
        <f t="shared" si="59"/>
        <v>N</v>
      </c>
      <c r="V58" s="890" t="str">
        <f t="shared" si="60"/>
        <v>A</v>
      </c>
      <c r="W58" s="890" t="str">
        <f t="shared" si="61"/>
        <v>N</v>
      </c>
      <c r="X58" s="890" t="str">
        <f t="shared" si="62"/>
        <v>N</v>
      </c>
      <c r="Y58" s="890" t="str">
        <f t="shared" si="63"/>
        <v>N</v>
      </c>
      <c r="Z58" s="890" t="str">
        <f t="shared" si="64"/>
        <v>N</v>
      </c>
      <c r="AA58" s="890" t="str">
        <f t="shared" si="65"/>
        <v>A</v>
      </c>
      <c r="AB58" s="890" t="str">
        <f t="shared" si="66"/>
        <v>N</v>
      </c>
      <c r="AC58" s="890" t="str">
        <f t="shared" si="67"/>
        <v>N</v>
      </c>
      <c r="AD58" s="891"/>
      <c r="AE58" s="884"/>
      <c r="AF58" s="885"/>
      <c r="AG58" s="886"/>
      <c r="AH58" s="887"/>
      <c r="AI58" s="888"/>
    </row>
    <row r="59" spans="2:51" x14ac:dyDescent="0.3">
      <c r="B59" s="1151"/>
      <c r="C59" s="766" t="s">
        <v>427</v>
      </c>
      <c r="D59" s="892" t="s">
        <v>453</v>
      </c>
      <c r="E59" s="890" t="s">
        <v>453</v>
      </c>
      <c r="F59" s="890" t="str">
        <f t="shared" si="54"/>
        <v>A</v>
      </c>
      <c r="G59" s="890" t="str">
        <f t="shared" si="55"/>
        <v>A</v>
      </c>
      <c r="H59" s="890"/>
      <c r="I59" s="890"/>
      <c r="J59" s="890"/>
      <c r="K59" s="890"/>
      <c r="L59" s="890"/>
      <c r="M59" s="890"/>
      <c r="N59" s="890" t="s">
        <v>453</v>
      </c>
      <c r="O59" s="890"/>
      <c r="P59" s="890" t="str">
        <f t="shared" si="56"/>
        <v>N</v>
      </c>
      <c r="Q59" s="890" t="str">
        <f t="shared" si="56"/>
        <v>A</v>
      </c>
      <c r="R59" s="890" t="str">
        <f t="shared" si="56"/>
        <v>A</v>
      </c>
      <c r="S59" s="890" t="str">
        <f t="shared" si="57"/>
        <v>A</v>
      </c>
      <c r="T59" s="890" t="str">
        <f t="shared" si="58"/>
        <v>A</v>
      </c>
      <c r="U59" s="890" t="str">
        <f t="shared" si="59"/>
        <v>A</v>
      </c>
      <c r="V59" s="890" t="str">
        <f t="shared" si="60"/>
        <v>A</v>
      </c>
      <c r="W59" s="890" t="str">
        <f t="shared" si="61"/>
        <v>A</v>
      </c>
      <c r="X59" s="890" t="str">
        <f t="shared" si="62"/>
        <v>A</v>
      </c>
      <c r="Y59" s="890" t="str">
        <f t="shared" si="63"/>
        <v>A</v>
      </c>
      <c r="Z59" s="890" t="str">
        <f t="shared" si="64"/>
        <v>A</v>
      </c>
      <c r="AA59" s="890" t="str">
        <f t="shared" si="65"/>
        <v>A</v>
      </c>
      <c r="AB59" s="890" t="str">
        <f t="shared" si="66"/>
        <v>A</v>
      </c>
      <c r="AC59" s="890" t="str">
        <f t="shared" si="67"/>
        <v>A</v>
      </c>
      <c r="AD59" s="891"/>
      <c r="AE59" s="884"/>
      <c r="AF59" s="885"/>
      <c r="AG59" s="886"/>
      <c r="AH59" s="887"/>
      <c r="AI59" s="888"/>
    </row>
    <row r="60" spans="2:51" x14ac:dyDescent="0.3">
      <c r="B60" s="1151"/>
      <c r="C60" s="766" t="s">
        <v>429</v>
      </c>
      <c r="D60" s="892" t="s">
        <v>453</v>
      </c>
      <c r="E60" s="890" t="s">
        <v>453</v>
      </c>
      <c r="F60" s="890" t="str">
        <f t="shared" si="54"/>
        <v>N</v>
      </c>
      <c r="G60" s="890" t="str">
        <f t="shared" si="55"/>
        <v>N</v>
      </c>
      <c r="H60" s="890"/>
      <c r="I60" s="890"/>
      <c r="J60" s="890"/>
      <c r="K60" s="890"/>
      <c r="L60" s="890"/>
      <c r="M60" s="890"/>
      <c r="N60" s="890" t="s">
        <v>453</v>
      </c>
      <c r="O60" s="890"/>
      <c r="P60" s="890" t="str">
        <f t="shared" si="56"/>
        <v>N</v>
      </c>
      <c r="Q60" s="890" t="str">
        <f t="shared" si="56"/>
        <v>N</v>
      </c>
      <c r="R60" s="890" t="str">
        <f t="shared" si="56"/>
        <v>N</v>
      </c>
      <c r="S60" s="890" t="str">
        <f t="shared" si="57"/>
        <v>N</v>
      </c>
      <c r="T60" s="890" t="str">
        <f t="shared" si="58"/>
        <v>N</v>
      </c>
      <c r="U60" s="890" t="str">
        <f t="shared" si="59"/>
        <v>N</v>
      </c>
      <c r="V60" s="890" t="str">
        <f t="shared" si="60"/>
        <v>N</v>
      </c>
      <c r="W60" s="890" t="str">
        <f t="shared" si="61"/>
        <v>N</v>
      </c>
      <c r="X60" s="890" t="str">
        <f t="shared" si="62"/>
        <v>N</v>
      </c>
      <c r="Y60" s="890" t="str">
        <f t="shared" si="63"/>
        <v>N</v>
      </c>
      <c r="Z60" s="890" t="str">
        <f t="shared" si="64"/>
        <v>N</v>
      </c>
      <c r="AA60" s="890" t="str">
        <f t="shared" si="65"/>
        <v>N</v>
      </c>
      <c r="AB60" s="890" t="str">
        <f t="shared" si="66"/>
        <v>N</v>
      </c>
      <c r="AC60" s="890" t="str">
        <f t="shared" si="67"/>
        <v>N</v>
      </c>
      <c r="AD60" s="891"/>
      <c r="AE60" s="884"/>
      <c r="AF60" s="885"/>
      <c r="AG60" s="886"/>
      <c r="AH60" s="887"/>
      <c r="AI60" s="888"/>
    </row>
    <row r="61" spans="2:51" x14ac:dyDescent="0.3">
      <c r="B61" s="1151"/>
      <c r="C61" s="770" t="s">
        <v>431</v>
      </c>
      <c r="D61" s="892" t="s">
        <v>453</v>
      </c>
      <c r="E61" s="890" t="s">
        <v>453</v>
      </c>
      <c r="F61" s="890" t="str">
        <f t="shared" si="54"/>
        <v>A</v>
      </c>
      <c r="G61" s="890" t="str">
        <f t="shared" si="55"/>
        <v>N</v>
      </c>
      <c r="H61" s="890"/>
      <c r="I61" s="890"/>
      <c r="J61" s="890"/>
      <c r="K61" s="890"/>
      <c r="L61" s="890"/>
      <c r="M61" s="890"/>
      <c r="N61" s="890" t="s">
        <v>453</v>
      </c>
      <c r="O61" s="890"/>
      <c r="P61" s="890" t="str">
        <f t="shared" si="56"/>
        <v>N</v>
      </c>
      <c r="Q61" s="890" t="str">
        <f t="shared" si="56"/>
        <v>N</v>
      </c>
      <c r="R61" s="890" t="str">
        <f t="shared" si="56"/>
        <v>A</v>
      </c>
      <c r="S61" s="890" t="str">
        <f t="shared" si="57"/>
        <v>A</v>
      </c>
      <c r="T61" s="890" t="str">
        <f t="shared" si="58"/>
        <v>A</v>
      </c>
      <c r="U61" s="890" t="str">
        <f t="shared" si="59"/>
        <v>N</v>
      </c>
      <c r="V61" s="890" t="str">
        <f t="shared" si="60"/>
        <v>A</v>
      </c>
      <c r="W61" s="890" t="str">
        <f t="shared" si="61"/>
        <v>N</v>
      </c>
      <c r="X61" s="890" t="str">
        <f t="shared" si="62"/>
        <v>N</v>
      </c>
      <c r="Y61" s="890" t="str">
        <f t="shared" si="63"/>
        <v>A</v>
      </c>
      <c r="Z61" s="890" t="str">
        <f t="shared" si="64"/>
        <v>A</v>
      </c>
      <c r="AA61" s="890" t="str">
        <f t="shared" si="65"/>
        <v>A</v>
      </c>
      <c r="AB61" s="890" t="str">
        <f t="shared" si="66"/>
        <v>N</v>
      </c>
      <c r="AC61" s="890" t="str">
        <f t="shared" si="67"/>
        <v>A</v>
      </c>
      <c r="AD61" s="891"/>
      <c r="AE61" s="884"/>
      <c r="AF61" s="885"/>
      <c r="AG61" s="886"/>
      <c r="AH61" s="887"/>
      <c r="AI61" s="888"/>
    </row>
    <row r="62" spans="2:51" x14ac:dyDescent="0.3">
      <c r="B62" s="893"/>
      <c r="C62" s="894" t="s">
        <v>461</v>
      </c>
      <c r="D62" s="895">
        <v>0</v>
      </c>
      <c r="E62" s="896">
        <v>0</v>
      </c>
      <c r="F62" s="897">
        <f t="shared" ref="F62" si="68">R20</f>
        <v>0.2</v>
      </c>
      <c r="G62" s="897">
        <f t="shared" ref="G62" si="69">G20</f>
        <v>0.25</v>
      </c>
      <c r="H62" s="897"/>
      <c r="I62" s="897"/>
      <c r="J62" s="897"/>
      <c r="K62" s="897"/>
      <c r="L62" s="897"/>
      <c r="M62" s="897"/>
      <c r="N62" s="897">
        <v>0</v>
      </c>
      <c r="O62" s="897"/>
      <c r="P62" s="897">
        <f t="shared" ref="P62:R62" si="70">P20</f>
        <v>0</v>
      </c>
      <c r="Q62" s="897">
        <f t="shared" si="70"/>
        <v>0.25</v>
      </c>
      <c r="R62" s="897">
        <f t="shared" si="70"/>
        <v>0.2</v>
      </c>
      <c r="S62" s="897">
        <f t="shared" si="57"/>
        <v>0.2</v>
      </c>
      <c r="T62" s="897">
        <f t="shared" si="58"/>
        <v>0.2</v>
      </c>
      <c r="U62" s="897">
        <f t="shared" si="59"/>
        <v>0.25</v>
      </c>
      <c r="V62" s="897">
        <f t="shared" ref="V62" si="71">V20</f>
        <v>0.35</v>
      </c>
      <c r="W62" s="897">
        <f t="shared" si="61"/>
        <v>0.25</v>
      </c>
      <c r="X62" s="897">
        <f t="shared" si="62"/>
        <v>0.25</v>
      </c>
      <c r="Y62" s="897">
        <f t="shared" si="63"/>
        <v>0.2</v>
      </c>
      <c r="Z62" s="897">
        <f t="shared" si="64"/>
        <v>0.2</v>
      </c>
      <c r="AA62" s="897">
        <f t="shared" si="65"/>
        <v>0.35</v>
      </c>
      <c r="AB62" s="897">
        <f t="shared" si="66"/>
        <v>0.25</v>
      </c>
      <c r="AC62" s="897">
        <f t="shared" si="67"/>
        <v>0.2</v>
      </c>
      <c r="AD62" s="898"/>
      <c r="AE62" s="899"/>
      <c r="AF62" s="900"/>
      <c r="AG62" s="901"/>
      <c r="AH62" s="901"/>
      <c r="AI62" s="902"/>
    </row>
    <row r="63" spans="2:51" ht="15" thickBot="1" x14ac:dyDescent="0.35">
      <c r="B63" s="839"/>
      <c r="C63" s="840" t="s">
        <v>535</v>
      </c>
      <c r="D63" s="841"/>
      <c r="E63" s="841"/>
      <c r="F63" s="841"/>
      <c r="G63" s="842"/>
      <c r="H63" s="842"/>
      <c r="I63" s="842"/>
      <c r="J63" s="842"/>
      <c r="K63" s="842"/>
      <c r="L63" s="842"/>
      <c r="M63" s="842"/>
      <c r="N63" s="842"/>
      <c r="O63" s="842"/>
      <c r="P63" s="842"/>
      <c r="Q63" s="842"/>
      <c r="R63" s="842"/>
      <c r="S63" s="842"/>
      <c r="T63" s="842"/>
      <c r="U63" s="842"/>
      <c r="V63" s="842"/>
      <c r="W63" s="842"/>
      <c r="X63" s="842"/>
      <c r="Y63" s="842"/>
      <c r="Z63" s="842"/>
      <c r="AA63" s="842"/>
      <c r="AB63" s="842"/>
      <c r="AC63" s="842"/>
      <c r="AD63" s="904"/>
      <c r="AE63" s="905"/>
      <c r="AF63" s="906">
        <f>'Procesy - AS IS'!AG18/(1+$AE5)-'Procesy - AS IS'!AG18</f>
        <v>0.97299738280462478</v>
      </c>
      <c r="AG63" s="907">
        <f>'Procesy - AS IS'!AH18/(1+$AE5)-'Procesy - AS IS'!AH18</f>
        <v>0</v>
      </c>
      <c r="AH63" s="907">
        <f>'Procesy - AS IS'!AI18/(1+$AE5)-'Procesy - AS IS'!AI18</f>
        <v>0</v>
      </c>
      <c r="AI63" s="908">
        <f>'Procesy - AS IS'!AJ18/(1+$AE5)-'Procesy - AS IS'!AJ18</f>
        <v>0</v>
      </c>
    </row>
    <row r="64" spans="2:51" x14ac:dyDescent="0.3">
      <c r="B64" s="756" t="s">
        <v>456</v>
      </c>
      <c r="C64" s="757" t="s">
        <v>436</v>
      </c>
      <c r="D64" s="872">
        <f>D65*$AF65/($AF64-$AF135)+D79*$AF79/($AF64-$AF135)+D93*$AF93/($AF64-$AF135)+D107*$AF107/($AF64-$AF135)+D121*$AF121/($AF64-$AF135)</f>
        <v>0</v>
      </c>
      <c r="E64" s="750">
        <f>E65*$AF65/($AF64-$AF135)+E79*$AF79/($AF64-$AF135)+E93*$AF93/($AF64-$AF135)+E107*$AF107/($AF64-$AF135)+E121*$AF121/($AF64-$AF135)</f>
        <v>0</v>
      </c>
      <c r="F64" s="750">
        <f>F65*$AF65/($AF64-$AF135)+F79*$AF79/($AF64-$AF135)+F93*$AF93/($AF64-$AF135)+F107*$AF107/($AF64-$AF135)+F121*$AF121/($AF64-$AF135)</f>
        <v>0</v>
      </c>
      <c r="G64" s="760">
        <f>G65*$AF65/($AF64-$AF135)+G79*$AF79/($AF64-$AF135)+G93*$AF93/($AF64-$AF135)+G107*$AF107/($AF64-$AF135)+G121*$AF121/($AF64-$AF135)</f>
        <v>-1.6297711401098567</v>
      </c>
      <c r="H64" s="753"/>
      <c r="I64" s="753"/>
      <c r="J64" s="753"/>
      <c r="K64" s="753"/>
      <c r="L64" s="760">
        <f>L65*$AF65/($AF64-$AF135)+L79*$AF79/($AF64-$AF135)+L93*$AF93/($AF64-$AF135)+L107*$AF107/($AF64-$AF135)+L121*$AF121/($AF64-$AF135)</f>
        <v>-5.000000000000001E-2</v>
      </c>
      <c r="M64" s="760">
        <f>M65*$AF65/($AF64-$AF135)+M79*$AF79/($AF64-$AF135)+M93*$AF93/($AF64-$AF135)+M107*$AF107/($AF64-$AF135)+M121*$AF121/($AF64-$AF135)</f>
        <v>-0.27324959450018838</v>
      </c>
      <c r="N64" s="750">
        <f>N65*$AF65/($AF64-$AF135)+N79*$AF79/($AF64-$AF135)+N93*$AF93/($AF64-$AF135)+N107*$AF107/($AF64-$AF135)+N121*$AF121/($AF64-$AF135)</f>
        <v>0</v>
      </c>
      <c r="O64" s="750"/>
      <c r="P64" s="750">
        <f t="shared" ref="P64:AC64" si="72">P65*$AF65/($AF64-$AF135)+P79*$AF79/($AF64-$AF135)+P93*$AF93/($AF64-$AF135)+P107*$AF107/($AF64-$AF135)+P121*$AF121/($AF64-$AF135)</f>
        <v>0</v>
      </c>
      <c r="Q64" s="750">
        <f t="shared" si="72"/>
        <v>0</v>
      </c>
      <c r="R64" s="750">
        <f t="shared" si="72"/>
        <v>-0.71509389295697268</v>
      </c>
      <c r="S64" s="750">
        <f t="shared" si="72"/>
        <v>-1.3730507844996938</v>
      </c>
      <c r="T64" s="750">
        <f t="shared" si="72"/>
        <v>-0.12249032830227391</v>
      </c>
      <c r="U64" s="750">
        <f t="shared" si="72"/>
        <v>-1.6004399927971169</v>
      </c>
      <c r="V64" s="750">
        <f t="shared" si="72"/>
        <v>-0.26503152576217609</v>
      </c>
      <c r="W64" s="750">
        <f t="shared" si="72"/>
        <v>-3.3922192912421281E-2</v>
      </c>
      <c r="X64" s="750">
        <f t="shared" si="72"/>
        <v>0</v>
      </c>
      <c r="Y64" s="750">
        <f t="shared" si="72"/>
        <v>-0.21710203463949623</v>
      </c>
      <c r="Z64" s="750">
        <f t="shared" si="72"/>
        <v>-1.8904329174070301E-2</v>
      </c>
      <c r="AA64" s="750">
        <f t="shared" si="72"/>
        <v>-2.7184775909586276E-2</v>
      </c>
      <c r="AB64" s="750">
        <f t="shared" si="72"/>
        <v>-3.2437296403123109E-2</v>
      </c>
      <c r="AC64" s="751">
        <f t="shared" si="72"/>
        <v>-0.211027828340007</v>
      </c>
      <c r="AD64" s="909">
        <f>SUM(AD65:AD121)</f>
        <v>-36.892792047134158</v>
      </c>
      <c r="AE64" s="874">
        <f>-SUM(AF65:AF134)/('Procesy - AS IS'!AG19+SUM(AF65:AF134))</f>
        <v>-0.19510929701433169</v>
      </c>
      <c r="AF64" s="910">
        <f>SUM(AF65:AF135)</f>
        <v>155.8662281907971</v>
      </c>
      <c r="AG64" s="911">
        <f>SUM(AG65:AG135)</f>
        <v>27.250507942853559</v>
      </c>
      <c r="AH64" s="911">
        <f>SUM(AH65:AH135)</f>
        <v>24.342641277577631</v>
      </c>
      <c r="AI64" s="912">
        <f>SUM(AI65:AI135)</f>
        <v>5.1901812566877918</v>
      </c>
    </row>
    <row r="65" spans="2:51" ht="28.8" customHeight="1" x14ac:dyDescent="0.3">
      <c r="B65" s="808" t="str">
        <f>'Procesy - AS IS'!B20</f>
        <v>Meranie č. 5</v>
      </c>
      <c r="C65" s="769" t="str">
        <f>'Procesy - AS IS'!$C$20</f>
        <v>Modelovaný spis kontroly veľkého zdroja diskusiou s inšpektorom</v>
      </c>
      <c r="D65" s="872">
        <f>-'Procesy - AS IS'!D22*D78</f>
        <v>0</v>
      </c>
      <c r="E65" s="752">
        <f>-'Procesy - AS IS'!E22*E78</f>
        <v>0</v>
      </c>
      <c r="F65" s="752">
        <f>-'Procesy - AS IS'!F22*F78</f>
        <v>0</v>
      </c>
      <c r="G65" s="752">
        <f>-'Procesy - AS IS'!G22*G78</f>
        <v>-3</v>
      </c>
      <c r="H65" s="752" t="s">
        <v>523</v>
      </c>
      <c r="I65" s="752" t="s">
        <v>523</v>
      </c>
      <c r="J65" s="752" t="s">
        <v>523</v>
      </c>
      <c r="K65" s="752" t="s">
        <v>523</v>
      </c>
      <c r="L65" s="752">
        <f>-'Procesy - AS IS'!L22*L78</f>
        <v>-0.05</v>
      </c>
      <c r="M65" s="752">
        <f>-'Procesy - AS IS'!M22*M78</f>
        <v>-9.375E-2</v>
      </c>
      <c r="N65" s="752">
        <f>-'Procesy - AS IS'!N22*N78</f>
        <v>0</v>
      </c>
      <c r="O65" s="752" t="s">
        <v>524</v>
      </c>
      <c r="P65" s="752">
        <f>-'Procesy - AS IS'!P22*P78</f>
        <v>0</v>
      </c>
      <c r="Q65" s="752">
        <f>-'Procesy - AS IS'!Q22*Q78</f>
        <v>0</v>
      </c>
      <c r="R65" s="752">
        <f>-'Procesy - AS IS'!R22*R78</f>
        <v>-1.7828571428571429</v>
      </c>
      <c r="S65" s="752">
        <f>-'Procesy - AS IS'!S22*S78</f>
        <v>-3.4171428571428573</v>
      </c>
      <c r="T65" s="752">
        <f>-'Procesy - AS IS'!T22*T78</f>
        <v>-0.2742857142857143</v>
      </c>
      <c r="U65" s="752">
        <f>-'Procesy - AS IS'!U22*U78</f>
        <v>-1.3142857142857143</v>
      </c>
      <c r="V65" s="752">
        <f>-'Procesy - AS IS'!V22*V78</f>
        <v>-0.17499999999999999</v>
      </c>
      <c r="W65" s="752">
        <f>-'Procesy - AS IS'!W22*W78</f>
        <v>-7.857142857142857E-2</v>
      </c>
      <c r="X65" s="752">
        <f>-'Procesy - AS IS'!X22*X78</f>
        <v>0</v>
      </c>
      <c r="Y65" s="752">
        <f>-'Procesy - AS IS'!Y22*Y78</f>
        <v>-0.50285714285714289</v>
      </c>
      <c r="Z65" s="752">
        <f>-'Procesy - AS IS'!Z22*Z78</f>
        <v>-4.5714285714285714E-2</v>
      </c>
      <c r="AA65" s="752">
        <f>-'Procesy - AS IS'!AA22*AA78</f>
        <v>-3.9999999999999994E-2</v>
      </c>
      <c r="AB65" s="752">
        <f>-'Procesy - AS IS'!AB22*AB78</f>
        <v>0</v>
      </c>
      <c r="AC65" s="752">
        <f>-'Procesy - AS IS'!AC22*AC78</f>
        <v>-0.4</v>
      </c>
      <c r="AD65" s="903">
        <f>SUM(D65:AC65)</f>
        <v>-11.174464285714288</v>
      </c>
      <c r="AE65" s="880">
        <f>AD65/'Procesy - AS IS'!AD22</f>
        <v>-0.21520393424582163</v>
      </c>
      <c r="AF65" s="881">
        <f>'Procesy - AS IS'!AG22/(1+$AE65)-'Procesy - AS IS'!AG22</f>
        <v>9.5975732133232299</v>
      </c>
      <c r="AG65" s="882">
        <f>'Procesy - AS IS'!AH22/(1+$AE65)-'Procesy - AS IS'!AH22</f>
        <v>3.2905965302822491</v>
      </c>
      <c r="AH65" s="877">
        <f>'Procesy - AS IS'!AI22/(1+$AE65)-'Procesy - AS IS'!AI22</f>
        <v>3.0163801527587282</v>
      </c>
      <c r="AI65" s="878">
        <f>'Procesy - AS IS'!AJ22/(1+$AE65)-'Procesy - AS IS'!AJ22</f>
        <v>0.54843275504704181</v>
      </c>
    </row>
    <row r="66" spans="2:51" x14ac:dyDescent="0.3">
      <c r="B66" s="1150" t="s">
        <v>451</v>
      </c>
      <c r="C66" s="766" t="s">
        <v>409</v>
      </c>
      <c r="D66" s="892" t="s">
        <v>453</v>
      </c>
      <c r="E66" s="890" t="s">
        <v>453</v>
      </c>
      <c r="F66" s="890" t="s">
        <v>453</v>
      </c>
      <c r="G66" s="890" t="str">
        <f t="shared" ref="G66:G78" si="73">G50</f>
        <v>A</v>
      </c>
      <c r="H66" s="890"/>
      <c r="I66" s="890"/>
      <c r="J66" s="890"/>
      <c r="K66" s="890"/>
      <c r="L66" s="890" t="str">
        <f t="shared" ref="L66:L77" si="74">R7</f>
        <v>A</v>
      </c>
      <c r="M66" s="890" t="str">
        <f t="shared" ref="M66:M78" si="75">G66</f>
        <v>A</v>
      </c>
      <c r="N66" s="890" t="s">
        <v>453</v>
      </c>
      <c r="O66" s="890"/>
      <c r="P66" s="890" t="str">
        <f t="shared" ref="P66:R77" si="76">P7</f>
        <v>N</v>
      </c>
      <c r="Q66" s="890" t="str">
        <f t="shared" si="76"/>
        <v>A</v>
      </c>
      <c r="R66" s="890" t="str">
        <f t="shared" si="76"/>
        <v>A</v>
      </c>
      <c r="S66" s="890" t="str">
        <f t="shared" ref="S66:S78" si="77">R66</f>
        <v>A</v>
      </c>
      <c r="T66" s="890" t="str">
        <f t="shared" ref="T66:T78" si="78">R66</f>
        <v>A</v>
      </c>
      <c r="U66" s="890" t="str">
        <f t="shared" ref="U66:U78" si="79">G66</f>
        <v>A</v>
      </c>
      <c r="V66" s="890" t="str">
        <f t="shared" ref="V66:X77" si="80">V7</f>
        <v>A</v>
      </c>
      <c r="W66" s="890" t="str">
        <f t="shared" si="80"/>
        <v>A</v>
      </c>
      <c r="X66" s="890" t="str">
        <f t="shared" si="80"/>
        <v>A</v>
      </c>
      <c r="Y66" s="890" t="str">
        <f t="shared" ref="Y66:Y78" si="81">R66</f>
        <v>A</v>
      </c>
      <c r="Z66" s="890" t="str">
        <f t="shared" ref="Z66:Z78" si="82">R66</f>
        <v>A</v>
      </c>
      <c r="AA66" s="890" t="str">
        <f t="shared" ref="AA66:AA78" si="83">$V66</f>
        <v>A</v>
      </c>
      <c r="AB66" s="890" t="str">
        <f t="shared" ref="AB66:AB78" si="84">G66</f>
        <v>A</v>
      </c>
      <c r="AC66" s="890" t="str">
        <f t="shared" ref="AC66:AC78" si="85">R66</f>
        <v>A</v>
      </c>
      <c r="AD66" s="891"/>
      <c r="AE66" s="884"/>
      <c r="AF66" s="885"/>
      <c r="AG66" s="886"/>
      <c r="AH66" s="887"/>
      <c r="AI66" s="888"/>
    </row>
    <row r="67" spans="2:51" x14ac:dyDescent="0.3">
      <c r="B67" s="1151"/>
      <c r="C67" s="766" t="s">
        <v>411</v>
      </c>
      <c r="D67" s="889" t="s">
        <v>453</v>
      </c>
      <c r="E67" s="890" t="s">
        <v>453</v>
      </c>
      <c r="F67" s="890" t="s">
        <v>453</v>
      </c>
      <c r="G67" s="890" t="str">
        <f t="shared" si="73"/>
        <v>N</v>
      </c>
      <c r="H67" s="890"/>
      <c r="I67" s="890"/>
      <c r="J67" s="890"/>
      <c r="K67" s="890"/>
      <c r="L67" s="890" t="str">
        <f t="shared" si="74"/>
        <v>N</v>
      </c>
      <c r="M67" s="890" t="str">
        <f t="shared" si="75"/>
        <v>N</v>
      </c>
      <c r="N67" s="890" t="s">
        <v>453</v>
      </c>
      <c r="O67" s="890"/>
      <c r="P67" s="890" t="str">
        <f t="shared" si="76"/>
        <v>N</v>
      </c>
      <c r="Q67" s="890" t="str">
        <f t="shared" si="76"/>
        <v>N</v>
      </c>
      <c r="R67" s="890" t="str">
        <f t="shared" si="76"/>
        <v>N</v>
      </c>
      <c r="S67" s="890" t="str">
        <f t="shared" si="77"/>
        <v>N</v>
      </c>
      <c r="T67" s="890" t="str">
        <f t="shared" si="78"/>
        <v>N</v>
      </c>
      <c r="U67" s="890" t="str">
        <f t="shared" si="79"/>
        <v>N</v>
      </c>
      <c r="V67" s="890" t="str">
        <f t="shared" si="80"/>
        <v>N</v>
      </c>
      <c r="W67" s="890" t="str">
        <f t="shared" si="80"/>
        <v>N</v>
      </c>
      <c r="X67" s="890" t="str">
        <f t="shared" si="80"/>
        <v>N</v>
      </c>
      <c r="Y67" s="890" t="str">
        <f t="shared" si="81"/>
        <v>N</v>
      </c>
      <c r="Z67" s="890" t="str">
        <f t="shared" si="82"/>
        <v>N</v>
      </c>
      <c r="AA67" s="890" t="str">
        <f t="shared" si="83"/>
        <v>N</v>
      </c>
      <c r="AB67" s="890" t="str">
        <f t="shared" si="84"/>
        <v>N</v>
      </c>
      <c r="AC67" s="890" t="str">
        <f t="shared" si="85"/>
        <v>N</v>
      </c>
      <c r="AD67" s="891"/>
      <c r="AE67" s="884"/>
      <c r="AF67" s="885"/>
      <c r="AG67" s="886"/>
      <c r="AH67" s="887"/>
      <c r="AI67" s="888"/>
    </row>
    <row r="68" spans="2:51" x14ac:dyDescent="0.3">
      <c r="B68" s="1151"/>
      <c r="C68" s="766" t="s">
        <v>413</v>
      </c>
      <c r="D68" s="889" t="s">
        <v>453</v>
      </c>
      <c r="E68" s="890" t="s">
        <v>453</v>
      </c>
      <c r="F68" s="890" t="s">
        <v>453</v>
      </c>
      <c r="G68" s="890" t="str">
        <f t="shared" si="73"/>
        <v>N</v>
      </c>
      <c r="H68" s="890"/>
      <c r="I68" s="890"/>
      <c r="J68" s="890"/>
      <c r="K68" s="890"/>
      <c r="L68" s="890" t="str">
        <f t="shared" si="74"/>
        <v>N</v>
      </c>
      <c r="M68" s="890" t="str">
        <f t="shared" si="75"/>
        <v>N</v>
      </c>
      <c r="N68" s="890" t="s">
        <v>453</v>
      </c>
      <c r="O68" s="890"/>
      <c r="P68" s="890" t="str">
        <f t="shared" si="76"/>
        <v>N</v>
      </c>
      <c r="Q68" s="890" t="str">
        <f t="shared" si="76"/>
        <v>N</v>
      </c>
      <c r="R68" s="890" t="str">
        <f t="shared" si="76"/>
        <v>N</v>
      </c>
      <c r="S68" s="890" t="str">
        <f t="shared" si="77"/>
        <v>N</v>
      </c>
      <c r="T68" s="890" t="str">
        <f t="shared" si="78"/>
        <v>N</v>
      </c>
      <c r="U68" s="890" t="str">
        <f t="shared" si="79"/>
        <v>N</v>
      </c>
      <c r="V68" s="890" t="str">
        <f t="shared" si="80"/>
        <v>N</v>
      </c>
      <c r="W68" s="890" t="str">
        <f t="shared" si="80"/>
        <v>N</v>
      </c>
      <c r="X68" s="890" t="str">
        <f t="shared" si="80"/>
        <v>N</v>
      </c>
      <c r="Y68" s="890" t="str">
        <f t="shared" si="81"/>
        <v>N</v>
      </c>
      <c r="Z68" s="890" t="str">
        <f t="shared" si="82"/>
        <v>N</v>
      </c>
      <c r="AA68" s="890" t="str">
        <f t="shared" si="83"/>
        <v>N</v>
      </c>
      <c r="AB68" s="890" t="str">
        <f t="shared" si="84"/>
        <v>N</v>
      </c>
      <c r="AC68" s="890" t="str">
        <f t="shared" si="85"/>
        <v>N</v>
      </c>
      <c r="AD68" s="891"/>
      <c r="AE68" s="884"/>
      <c r="AF68" s="885"/>
      <c r="AG68" s="886"/>
      <c r="AH68" s="887"/>
      <c r="AI68" s="888"/>
    </row>
    <row r="69" spans="2:51" x14ac:dyDescent="0.3">
      <c r="B69" s="1151"/>
      <c r="C69" s="766" t="s">
        <v>415</v>
      </c>
      <c r="D69" s="892" t="s">
        <v>453</v>
      </c>
      <c r="E69" s="890" t="s">
        <v>453</v>
      </c>
      <c r="F69" s="890" t="s">
        <v>453</v>
      </c>
      <c r="G69" s="890" t="str">
        <f t="shared" si="73"/>
        <v>N</v>
      </c>
      <c r="H69" s="890"/>
      <c r="I69" s="890"/>
      <c r="J69" s="890"/>
      <c r="K69" s="890"/>
      <c r="L69" s="890" t="str">
        <f t="shared" si="74"/>
        <v>N</v>
      </c>
      <c r="M69" s="890" t="str">
        <f t="shared" si="75"/>
        <v>N</v>
      </c>
      <c r="N69" s="890" t="s">
        <v>453</v>
      </c>
      <c r="O69" s="890"/>
      <c r="P69" s="890" t="str">
        <f t="shared" si="76"/>
        <v>N</v>
      </c>
      <c r="Q69" s="890" t="str">
        <f t="shared" si="76"/>
        <v>N</v>
      </c>
      <c r="R69" s="890" t="str">
        <f t="shared" si="76"/>
        <v>N</v>
      </c>
      <c r="S69" s="890" t="str">
        <f t="shared" si="77"/>
        <v>N</v>
      </c>
      <c r="T69" s="890" t="str">
        <f t="shared" si="78"/>
        <v>N</v>
      </c>
      <c r="U69" s="890" t="str">
        <f t="shared" si="79"/>
        <v>N</v>
      </c>
      <c r="V69" s="890" t="str">
        <f t="shared" si="80"/>
        <v>N</v>
      </c>
      <c r="W69" s="890" t="str">
        <f t="shared" si="80"/>
        <v>N</v>
      </c>
      <c r="X69" s="890" t="str">
        <f t="shared" si="80"/>
        <v>N</v>
      </c>
      <c r="Y69" s="890" t="str">
        <f t="shared" si="81"/>
        <v>N</v>
      </c>
      <c r="Z69" s="890" t="str">
        <f t="shared" si="82"/>
        <v>N</v>
      </c>
      <c r="AA69" s="890" t="str">
        <f t="shared" si="83"/>
        <v>N</v>
      </c>
      <c r="AB69" s="890" t="str">
        <f t="shared" si="84"/>
        <v>N</v>
      </c>
      <c r="AC69" s="890" t="str">
        <f t="shared" si="85"/>
        <v>N</v>
      </c>
      <c r="AD69" s="891"/>
      <c r="AE69" s="884"/>
      <c r="AF69" s="885"/>
      <c r="AG69" s="886"/>
      <c r="AH69" s="887"/>
      <c r="AI69" s="888"/>
    </row>
    <row r="70" spans="2:51" x14ac:dyDescent="0.3">
      <c r="B70" s="1151"/>
      <c r="C70" s="766" t="s">
        <v>417</v>
      </c>
      <c r="D70" s="892" t="s">
        <v>453</v>
      </c>
      <c r="E70" s="890" t="s">
        <v>453</v>
      </c>
      <c r="F70" s="890" t="s">
        <v>453</v>
      </c>
      <c r="G70" s="890" t="str">
        <f t="shared" si="73"/>
        <v>A</v>
      </c>
      <c r="H70" s="890"/>
      <c r="I70" s="890"/>
      <c r="J70" s="890"/>
      <c r="K70" s="890"/>
      <c r="L70" s="890" t="str">
        <f t="shared" si="74"/>
        <v>A</v>
      </c>
      <c r="M70" s="890" t="str">
        <f t="shared" si="75"/>
        <v>A</v>
      </c>
      <c r="N70" s="890" t="s">
        <v>453</v>
      </c>
      <c r="O70" s="890"/>
      <c r="P70" s="890" t="str">
        <f t="shared" si="76"/>
        <v>N</v>
      </c>
      <c r="Q70" s="890" t="str">
        <f t="shared" si="76"/>
        <v>A</v>
      </c>
      <c r="R70" s="890" t="str">
        <f t="shared" si="76"/>
        <v>A</v>
      </c>
      <c r="S70" s="890" t="str">
        <f t="shared" si="77"/>
        <v>A</v>
      </c>
      <c r="T70" s="890" t="str">
        <f t="shared" si="78"/>
        <v>A</v>
      </c>
      <c r="U70" s="890" t="str">
        <f t="shared" si="79"/>
        <v>A</v>
      </c>
      <c r="V70" s="890" t="str">
        <f t="shared" si="80"/>
        <v>A</v>
      </c>
      <c r="W70" s="890" t="str">
        <f t="shared" si="80"/>
        <v>A</v>
      </c>
      <c r="X70" s="890" t="str">
        <f t="shared" si="80"/>
        <v>A</v>
      </c>
      <c r="Y70" s="890" t="str">
        <f t="shared" si="81"/>
        <v>A</v>
      </c>
      <c r="Z70" s="890" t="str">
        <f t="shared" si="82"/>
        <v>A</v>
      </c>
      <c r="AA70" s="890" t="str">
        <f t="shared" si="83"/>
        <v>A</v>
      </c>
      <c r="AB70" s="890" t="str">
        <f t="shared" si="84"/>
        <v>A</v>
      </c>
      <c r="AC70" s="890" t="str">
        <f t="shared" si="85"/>
        <v>A</v>
      </c>
      <c r="AD70" s="891"/>
      <c r="AE70" s="884"/>
      <c r="AF70" s="885"/>
      <c r="AG70" s="886"/>
      <c r="AH70" s="887"/>
      <c r="AI70" s="888"/>
      <c r="AK70" s="252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</row>
    <row r="71" spans="2:51" x14ac:dyDescent="0.3">
      <c r="B71" s="1151"/>
      <c r="C71" s="766" t="s">
        <v>419</v>
      </c>
      <c r="D71" s="892" t="s">
        <v>453</v>
      </c>
      <c r="E71" s="890" t="s">
        <v>453</v>
      </c>
      <c r="F71" s="890" t="s">
        <v>453</v>
      </c>
      <c r="G71" s="890" t="str">
        <f t="shared" si="73"/>
        <v>A</v>
      </c>
      <c r="H71" s="890"/>
      <c r="I71" s="890"/>
      <c r="J71" s="890"/>
      <c r="K71" s="890"/>
      <c r="L71" s="890" t="str">
        <f t="shared" si="74"/>
        <v>A</v>
      </c>
      <c r="M71" s="890" t="str">
        <f t="shared" si="75"/>
        <v>A</v>
      </c>
      <c r="N71" s="890" t="s">
        <v>453</v>
      </c>
      <c r="O71" s="890"/>
      <c r="P71" s="890" t="str">
        <f t="shared" si="76"/>
        <v>N</v>
      </c>
      <c r="Q71" s="890" t="str">
        <f t="shared" si="76"/>
        <v>A</v>
      </c>
      <c r="R71" s="890" t="str">
        <f t="shared" si="76"/>
        <v>A</v>
      </c>
      <c r="S71" s="890" t="str">
        <f t="shared" si="77"/>
        <v>A</v>
      </c>
      <c r="T71" s="890" t="str">
        <f t="shared" si="78"/>
        <v>A</v>
      </c>
      <c r="U71" s="890" t="str">
        <f t="shared" si="79"/>
        <v>A</v>
      </c>
      <c r="V71" s="890" t="str">
        <f t="shared" si="80"/>
        <v>A</v>
      </c>
      <c r="W71" s="890" t="str">
        <f t="shared" si="80"/>
        <v>A</v>
      </c>
      <c r="X71" s="890" t="str">
        <f t="shared" si="80"/>
        <v>A</v>
      </c>
      <c r="Y71" s="890" t="str">
        <f t="shared" si="81"/>
        <v>A</v>
      </c>
      <c r="Z71" s="890" t="str">
        <f t="shared" si="82"/>
        <v>A</v>
      </c>
      <c r="AA71" s="890" t="str">
        <f t="shared" si="83"/>
        <v>A</v>
      </c>
      <c r="AB71" s="890" t="str">
        <f t="shared" si="84"/>
        <v>A</v>
      </c>
      <c r="AC71" s="890" t="str">
        <f t="shared" si="85"/>
        <v>A</v>
      </c>
      <c r="AD71" s="891"/>
      <c r="AE71" s="884"/>
      <c r="AF71" s="885"/>
      <c r="AG71" s="886"/>
      <c r="AH71" s="887"/>
      <c r="AI71" s="888"/>
      <c r="AK71" s="252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</row>
    <row r="72" spans="2:51" x14ac:dyDescent="0.3">
      <c r="B72" s="1151"/>
      <c r="C72" s="766" t="s">
        <v>421</v>
      </c>
      <c r="D72" s="892" t="s">
        <v>453</v>
      </c>
      <c r="E72" s="890" t="s">
        <v>453</v>
      </c>
      <c r="F72" s="890" t="s">
        <v>453</v>
      </c>
      <c r="G72" s="890" t="str">
        <f t="shared" si="73"/>
        <v>A</v>
      </c>
      <c r="H72" s="890"/>
      <c r="I72" s="890"/>
      <c r="J72" s="890"/>
      <c r="K72" s="890"/>
      <c r="L72" s="890" t="str">
        <f t="shared" si="74"/>
        <v>N</v>
      </c>
      <c r="M72" s="890" t="str">
        <f t="shared" si="75"/>
        <v>A</v>
      </c>
      <c r="N72" s="890" t="s">
        <v>453</v>
      </c>
      <c r="O72" s="890"/>
      <c r="P72" s="890" t="str">
        <f t="shared" si="76"/>
        <v>N</v>
      </c>
      <c r="Q72" s="890" t="str">
        <f t="shared" si="76"/>
        <v>A</v>
      </c>
      <c r="R72" s="890" t="str">
        <f t="shared" si="76"/>
        <v>N</v>
      </c>
      <c r="S72" s="890" t="str">
        <f t="shared" si="77"/>
        <v>N</v>
      </c>
      <c r="T72" s="890" t="str">
        <f t="shared" si="78"/>
        <v>N</v>
      </c>
      <c r="U72" s="890" t="str">
        <f t="shared" si="79"/>
        <v>A</v>
      </c>
      <c r="V72" s="890" t="str">
        <f t="shared" si="80"/>
        <v>A</v>
      </c>
      <c r="W72" s="890" t="str">
        <f t="shared" si="80"/>
        <v>A</v>
      </c>
      <c r="X72" s="890" t="str">
        <f t="shared" si="80"/>
        <v>A</v>
      </c>
      <c r="Y72" s="890" t="str">
        <f t="shared" si="81"/>
        <v>N</v>
      </c>
      <c r="Z72" s="890" t="str">
        <f t="shared" si="82"/>
        <v>N</v>
      </c>
      <c r="AA72" s="890" t="str">
        <f t="shared" si="83"/>
        <v>A</v>
      </c>
      <c r="AB72" s="890" t="str">
        <f t="shared" si="84"/>
        <v>A</v>
      </c>
      <c r="AC72" s="890" t="str">
        <f t="shared" si="85"/>
        <v>N</v>
      </c>
      <c r="AD72" s="891"/>
      <c r="AE72" s="884"/>
      <c r="AF72" s="885"/>
      <c r="AG72" s="886"/>
      <c r="AH72" s="887"/>
      <c r="AI72" s="888"/>
      <c r="AK72" s="252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</row>
    <row r="73" spans="2:51" x14ac:dyDescent="0.3">
      <c r="B73" s="1151"/>
      <c r="C73" s="766" t="s">
        <v>423</v>
      </c>
      <c r="D73" s="892" t="s">
        <v>453</v>
      </c>
      <c r="E73" s="890" t="s">
        <v>453</v>
      </c>
      <c r="F73" s="890" t="s">
        <v>453</v>
      </c>
      <c r="G73" s="890" t="str">
        <f t="shared" si="73"/>
        <v>A</v>
      </c>
      <c r="H73" s="890"/>
      <c r="I73" s="890"/>
      <c r="J73" s="890"/>
      <c r="K73" s="890"/>
      <c r="L73" s="890" t="str">
        <f t="shared" si="74"/>
        <v>N</v>
      </c>
      <c r="M73" s="890" t="str">
        <f t="shared" si="75"/>
        <v>A</v>
      </c>
      <c r="N73" s="890" t="s">
        <v>453</v>
      </c>
      <c r="O73" s="890"/>
      <c r="P73" s="890" t="str">
        <f t="shared" si="76"/>
        <v>N</v>
      </c>
      <c r="Q73" s="890" t="str">
        <f t="shared" si="76"/>
        <v>A</v>
      </c>
      <c r="R73" s="890" t="str">
        <f t="shared" si="76"/>
        <v>N</v>
      </c>
      <c r="S73" s="890" t="str">
        <f t="shared" si="77"/>
        <v>N</v>
      </c>
      <c r="T73" s="890" t="str">
        <f t="shared" si="78"/>
        <v>N</v>
      </c>
      <c r="U73" s="890" t="str">
        <f t="shared" si="79"/>
        <v>A</v>
      </c>
      <c r="V73" s="890" t="str">
        <f t="shared" si="80"/>
        <v>A</v>
      </c>
      <c r="W73" s="890" t="str">
        <f t="shared" si="80"/>
        <v>A</v>
      </c>
      <c r="X73" s="890" t="str">
        <f t="shared" si="80"/>
        <v>A</v>
      </c>
      <c r="Y73" s="890" t="str">
        <f t="shared" si="81"/>
        <v>N</v>
      </c>
      <c r="Z73" s="890" t="str">
        <f t="shared" si="82"/>
        <v>N</v>
      </c>
      <c r="AA73" s="890" t="str">
        <f t="shared" si="83"/>
        <v>A</v>
      </c>
      <c r="AB73" s="890" t="str">
        <f t="shared" si="84"/>
        <v>A</v>
      </c>
      <c r="AC73" s="890" t="str">
        <f t="shared" si="85"/>
        <v>N</v>
      </c>
      <c r="AD73" s="891"/>
      <c r="AE73" s="884"/>
      <c r="AF73" s="885"/>
      <c r="AG73" s="886"/>
      <c r="AH73" s="887"/>
      <c r="AI73" s="888"/>
    </row>
    <row r="74" spans="2:51" x14ac:dyDescent="0.3">
      <c r="B74" s="1151"/>
      <c r="C74" s="766" t="s">
        <v>425</v>
      </c>
      <c r="D74" s="892" t="s">
        <v>453</v>
      </c>
      <c r="E74" s="890" t="s">
        <v>453</v>
      </c>
      <c r="F74" s="890" t="s">
        <v>453</v>
      </c>
      <c r="G74" s="890" t="str">
        <f t="shared" si="73"/>
        <v>N</v>
      </c>
      <c r="H74" s="890"/>
      <c r="I74" s="890"/>
      <c r="J74" s="890"/>
      <c r="K74" s="890"/>
      <c r="L74" s="890" t="str">
        <f t="shared" si="74"/>
        <v>N</v>
      </c>
      <c r="M74" s="890" t="str">
        <f t="shared" si="75"/>
        <v>N</v>
      </c>
      <c r="N74" s="890" t="s">
        <v>453</v>
      </c>
      <c r="O74" s="890"/>
      <c r="P74" s="890" t="str">
        <f t="shared" si="76"/>
        <v>N</v>
      </c>
      <c r="Q74" s="890" t="str">
        <f t="shared" si="76"/>
        <v>N</v>
      </c>
      <c r="R74" s="890" t="str">
        <f t="shared" si="76"/>
        <v>N</v>
      </c>
      <c r="S74" s="890" t="str">
        <f t="shared" si="77"/>
        <v>N</v>
      </c>
      <c r="T74" s="890" t="str">
        <f t="shared" si="78"/>
        <v>N</v>
      </c>
      <c r="U74" s="890" t="str">
        <f t="shared" si="79"/>
        <v>N</v>
      </c>
      <c r="V74" s="890" t="str">
        <f t="shared" si="80"/>
        <v>A</v>
      </c>
      <c r="W74" s="890" t="str">
        <f t="shared" si="80"/>
        <v>N</v>
      </c>
      <c r="X74" s="890" t="str">
        <f t="shared" si="80"/>
        <v>N</v>
      </c>
      <c r="Y74" s="890" t="str">
        <f t="shared" si="81"/>
        <v>N</v>
      </c>
      <c r="Z74" s="890" t="str">
        <f t="shared" si="82"/>
        <v>N</v>
      </c>
      <c r="AA74" s="890" t="str">
        <f t="shared" si="83"/>
        <v>A</v>
      </c>
      <c r="AB74" s="890" t="str">
        <f t="shared" si="84"/>
        <v>N</v>
      </c>
      <c r="AC74" s="890" t="str">
        <f t="shared" si="85"/>
        <v>N</v>
      </c>
      <c r="AD74" s="891"/>
      <c r="AE74" s="884"/>
      <c r="AF74" s="885"/>
      <c r="AG74" s="886"/>
      <c r="AH74" s="887"/>
      <c r="AI74" s="888"/>
    </row>
    <row r="75" spans="2:51" x14ac:dyDescent="0.3">
      <c r="B75" s="1151"/>
      <c r="C75" s="766" t="s">
        <v>427</v>
      </c>
      <c r="D75" s="892" t="s">
        <v>453</v>
      </c>
      <c r="E75" s="890" t="s">
        <v>453</v>
      </c>
      <c r="F75" s="890" t="s">
        <v>453</v>
      </c>
      <c r="G75" s="890" t="str">
        <f t="shared" si="73"/>
        <v>A</v>
      </c>
      <c r="H75" s="890"/>
      <c r="I75" s="890"/>
      <c r="J75" s="890"/>
      <c r="K75" s="890"/>
      <c r="L75" s="890" t="str">
        <f t="shared" si="74"/>
        <v>A</v>
      </c>
      <c r="M75" s="890" t="str">
        <f t="shared" si="75"/>
        <v>A</v>
      </c>
      <c r="N75" s="890" t="s">
        <v>453</v>
      </c>
      <c r="O75" s="890"/>
      <c r="P75" s="890" t="str">
        <f t="shared" si="76"/>
        <v>N</v>
      </c>
      <c r="Q75" s="890" t="str">
        <f t="shared" si="76"/>
        <v>A</v>
      </c>
      <c r="R75" s="890" t="str">
        <f t="shared" si="76"/>
        <v>A</v>
      </c>
      <c r="S75" s="890" t="str">
        <f t="shared" si="77"/>
        <v>A</v>
      </c>
      <c r="T75" s="890" t="str">
        <f t="shared" si="78"/>
        <v>A</v>
      </c>
      <c r="U75" s="890" t="str">
        <f t="shared" si="79"/>
        <v>A</v>
      </c>
      <c r="V75" s="890" t="str">
        <f t="shared" si="80"/>
        <v>A</v>
      </c>
      <c r="W75" s="890" t="str">
        <f t="shared" si="80"/>
        <v>A</v>
      </c>
      <c r="X75" s="890" t="str">
        <f t="shared" si="80"/>
        <v>A</v>
      </c>
      <c r="Y75" s="890" t="str">
        <f t="shared" si="81"/>
        <v>A</v>
      </c>
      <c r="Z75" s="890" t="str">
        <f t="shared" si="82"/>
        <v>A</v>
      </c>
      <c r="AA75" s="890" t="str">
        <f t="shared" si="83"/>
        <v>A</v>
      </c>
      <c r="AB75" s="890" t="str">
        <f t="shared" si="84"/>
        <v>A</v>
      </c>
      <c r="AC75" s="890" t="str">
        <f t="shared" si="85"/>
        <v>A</v>
      </c>
      <c r="AD75" s="891"/>
      <c r="AE75" s="884"/>
      <c r="AF75" s="885"/>
      <c r="AG75" s="886"/>
      <c r="AH75" s="887"/>
      <c r="AI75" s="888"/>
    </row>
    <row r="76" spans="2:51" x14ac:dyDescent="0.3">
      <c r="B76" s="1151"/>
      <c r="C76" s="766" t="s">
        <v>429</v>
      </c>
      <c r="D76" s="892" t="s">
        <v>453</v>
      </c>
      <c r="E76" s="890" t="s">
        <v>453</v>
      </c>
      <c r="F76" s="890" t="s">
        <v>453</v>
      </c>
      <c r="G76" s="890" t="str">
        <f t="shared" si="73"/>
        <v>N</v>
      </c>
      <c r="H76" s="890"/>
      <c r="I76" s="890"/>
      <c r="J76" s="890"/>
      <c r="K76" s="890"/>
      <c r="L76" s="890" t="str">
        <f t="shared" si="74"/>
        <v>N</v>
      </c>
      <c r="M76" s="890" t="str">
        <f t="shared" si="75"/>
        <v>N</v>
      </c>
      <c r="N76" s="890" t="s">
        <v>453</v>
      </c>
      <c r="O76" s="890"/>
      <c r="P76" s="890" t="str">
        <f t="shared" si="76"/>
        <v>N</v>
      </c>
      <c r="Q76" s="890" t="str">
        <f t="shared" si="76"/>
        <v>N</v>
      </c>
      <c r="R76" s="890" t="str">
        <f t="shared" si="76"/>
        <v>N</v>
      </c>
      <c r="S76" s="890" t="str">
        <f t="shared" si="77"/>
        <v>N</v>
      </c>
      <c r="T76" s="890" t="str">
        <f t="shared" si="78"/>
        <v>N</v>
      </c>
      <c r="U76" s="890" t="str">
        <f t="shared" si="79"/>
        <v>N</v>
      </c>
      <c r="V76" s="890" t="str">
        <f t="shared" si="80"/>
        <v>N</v>
      </c>
      <c r="W76" s="890" t="str">
        <f t="shared" si="80"/>
        <v>N</v>
      </c>
      <c r="X76" s="890" t="str">
        <f t="shared" si="80"/>
        <v>N</v>
      </c>
      <c r="Y76" s="890" t="str">
        <f t="shared" si="81"/>
        <v>N</v>
      </c>
      <c r="Z76" s="890" t="str">
        <f t="shared" si="82"/>
        <v>N</v>
      </c>
      <c r="AA76" s="890" t="str">
        <f t="shared" si="83"/>
        <v>N</v>
      </c>
      <c r="AB76" s="890" t="str">
        <f t="shared" si="84"/>
        <v>N</v>
      </c>
      <c r="AC76" s="890" t="str">
        <f t="shared" si="85"/>
        <v>N</v>
      </c>
      <c r="AD76" s="891"/>
      <c r="AE76" s="884"/>
      <c r="AF76" s="885"/>
      <c r="AG76" s="886"/>
      <c r="AH76" s="887"/>
      <c r="AI76" s="888"/>
    </row>
    <row r="77" spans="2:51" x14ac:dyDescent="0.3">
      <c r="B77" s="1151"/>
      <c r="C77" s="770" t="s">
        <v>431</v>
      </c>
      <c r="D77" s="892" t="s">
        <v>453</v>
      </c>
      <c r="E77" s="890" t="s">
        <v>453</v>
      </c>
      <c r="F77" s="890" t="s">
        <v>453</v>
      </c>
      <c r="G77" s="890" t="str">
        <f t="shared" si="73"/>
        <v>N</v>
      </c>
      <c r="H77" s="890"/>
      <c r="I77" s="890"/>
      <c r="J77" s="890"/>
      <c r="K77" s="890"/>
      <c r="L77" s="890" t="str">
        <f t="shared" si="74"/>
        <v>A</v>
      </c>
      <c r="M77" s="890" t="str">
        <f t="shared" si="75"/>
        <v>N</v>
      </c>
      <c r="N77" s="890" t="s">
        <v>453</v>
      </c>
      <c r="O77" s="890"/>
      <c r="P77" s="890" t="str">
        <f t="shared" si="76"/>
        <v>N</v>
      </c>
      <c r="Q77" s="890" t="str">
        <f t="shared" si="76"/>
        <v>N</v>
      </c>
      <c r="R77" s="890" t="str">
        <f t="shared" si="76"/>
        <v>A</v>
      </c>
      <c r="S77" s="890" t="str">
        <f t="shared" si="77"/>
        <v>A</v>
      </c>
      <c r="T77" s="890" t="str">
        <f t="shared" si="78"/>
        <v>A</v>
      </c>
      <c r="U77" s="890" t="str">
        <f t="shared" si="79"/>
        <v>N</v>
      </c>
      <c r="V77" s="890" t="str">
        <f t="shared" si="80"/>
        <v>A</v>
      </c>
      <c r="W77" s="890" t="str">
        <f t="shared" si="80"/>
        <v>N</v>
      </c>
      <c r="X77" s="890" t="str">
        <f t="shared" si="80"/>
        <v>N</v>
      </c>
      <c r="Y77" s="890" t="str">
        <f t="shared" si="81"/>
        <v>A</v>
      </c>
      <c r="Z77" s="890" t="str">
        <f t="shared" si="82"/>
        <v>A</v>
      </c>
      <c r="AA77" s="890" t="str">
        <f t="shared" si="83"/>
        <v>A</v>
      </c>
      <c r="AB77" s="890" t="str">
        <f t="shared" si="84"/>
        <v>N</v>
      </c>
      <c r="AC77" s="890" t="str">
        <f t="shared" si="85"/>
        <v>A</v>
      </c>
      <c r="AD77" s="891"/>
      <c r="AE77" s="884"/>
      <c r="AF77" s="885"/>
      <c r="AG77" s="886"/>
      <c r="AH77" s="887"/>
      <c r="AI77" s="888"/>
    </row>
    <row r="78" spans="2:51" x14ac:dyDescent="0.3">
      <c r="B78" s="893"/>
      <c r="C78" s="894" t="s">
        <v>461</v>
      </c>
      <c r="D78" s="895">
        <v>0</v>
      </c>
      <c r="E78" s="896">
        <v>0</v>
      </c>
      <c r="F78" s="897">
        <v>0</v>
      </c>
      <c r="G78" s="897">
        <f t="shared" si="73"/>
        <v>0.25</v>
      </c>
      <c r="H78" s="897"/>
      <c r="I78" s="897"/>
      <c r="J78" s="897"/>
      <c r="K78" s="897"/>
      <c r="L78" s="897">
        <f t="shared" ref="L78" si="86">R20</f>
        <v>0.2</v>
      </c>
      <c r="M78" s="897">
        <f t="shared" si="75"/>
        <v>0.25</v>
      </c>
      <c r="N78" s="897">
        <v>0</v>
      </c>
      <c r="O78" s="897"/>
      <c r="P78" s="897">
        <f t="shared" ref="P78:R78" si="87">P20</f>
        <v>0</v>
      </c>
      <c r="Q78" s="897">
        <f t="shared" si="87"/>
        <v>0.25</v>
      </c>
      <c r="R78" s="897">
        <f t="shared" si="87"/>
        <v>0.2</v>
      </c>
      <c r="S78" s="897">
        <f t="shared" si="77"/>
        <v>0.2</v>
      </c>
      <c r="T78" s="897">
        <f t="shared" si="78"/>
        <v>0.2</v>
      </c>
      <c r="U78" s="897">
        <f t="shared" si="79"/>
        <v>0.25</v>
      </c>
      <c r="V78" s="897">
        <f t="shared" ref="V78:X78" si="88">V20</f>
        <v>0.35</v>
      </c>
      <c r="W78" s="897">
        <f t="shared" si="88"/>
        <v>0.25</v>
      </c>
      <c r="X78" s="897">
        <f t="shared" si="88"/>
        <v>0.25</v>
      </c>
      <c r="Y78" s="897">
        <f t="shared" si="81"/>
        <v>0.2</v>
      </c>
      <c r="Z78" s="897">
        <f t="shared" si="82"/>
        <v>0.2</v>
      </c>
      <c r="AA78" s="897">
        <f t="shared" si="83"/>
        <v>0.35</v>
      </c>
      <c r="AB78" s="897">
        <f t="shared" si="84"/>
        <v>0.25</v>
      </c>
      <c r="AC78" s="897">
        <f t="shared" si="85"/>
        <v>0.2</v>
      </c>
      <c r="AD78" s="898"/>
      <c r="AE78" s="899"/>
      <c r="AF78" s="900"/>
      <c r="AG78" s="901"/>
      <c r="AH78" s="901"/>
      <c r="AI78" s="902"/>
    </row>
    <row r="79" spans="2:51" ht="72" customHeight="1" x14ac:dyDescent="0.3">
      <c r="B79" s="256" t="str">
        <f>'Procesy - AS IS'!B23</f>
        <v>Meranie č. 6</v>
      </c>
      <c r="C79" s="749" t="str">
        <f>'Procesy - AS IS'!$C$23</f>
        <v>TERMMING, a.s. Bratislava, Kotolňa Železničná - kotle na spaľovanie biomasy, 5809-24751/33/2018/Fia, Kontrola stredného zdroja, 5809-24751/33/2018/Fia</v>
      </c>
      <c r="D79" s="872">
        <f>-'Procesy - AS IS'!D25*D92</f>
        <v>0</v>
      </c>
      <c r="E79" s="752">
        <f>-'Procesy - AS IS'!E25*E92</f>
        <v>0</v>
      </c>
      <c r="F79" s="752">
        <f>-'Procesy - AS IS'!F25*F92</f>
        <v>0</v>
      </c>
      <c r="G79" s="752">
        <f>-'Procesy - AS IS'!G25*G92</f>
        <v>-1.5</v>
      </c>
      <c r="H79" s="752" t="s">
        <v>523</v>
      </c>
      <c r="I79" s="752" t="s">
        <v>523</v>
      </c>
      <c r="J79" s="752" t="s">
        <v>523</v>
      </c>
      <c r="K79" s="752" t="s">
        <v>523</v>
      </c>
      <c r="L79" s="752">
        <f>-'Procesy - AS IS'!L25*L92</f>
        <v>-0.05</v>
      </c>
      <c r="M79" s="752">
        <f>-'Procesy - AS IS'!M25*M92</f>
        <v>-9.375E-2</v>
      </c>
      <c r="N79" s="752">
        <f>-'Procesy - AS IS'!N25*N92</f>
        <v>0</v>
      </c>
      <c r="O79" s="752" t="s">
        <v>524</v>
      </c>
      <c r="P79" s="752">
        <f>-'Procesy - AS IS'!P25*P92</f>
        <v>0</v>
      </c>
      <c r="Q79" s="752">
        <f>-'Procesy - AS IS'!Q25*Q92</f>
        <v>0</v>
      </c>
      <c r="R79" s="752">
        <f>-'Procesy - AS IS'!R25*R92</f>
        <v>-1.8181818181818181</v>
      </c>
      <c r="S79" s="752">
        <f>-'Procesy - AS IS'!S25*S92</f>
        <v>-3.3818181818181823</v>
      </c>
      <c r="T79" s="752">
        <f>-'Procesy - AS IS'!T25*T92</f>
        <v>-0.27972027972027974</v>
      </c>
      <c r="U79" s="752">
        <f>-'Procesy - AS IS'!U25*U92</f>
        <v>-1.3006993006993008</v>
      </c>
      <c r="V79" s="752">
        <f>-'Procesy - AS IS'!V25*V92</f>
        <v>-0.17499999999999999</v>
      </c>
      <c r="W79" s="752">
        <f>-'Procesy - AS IS'!W25*W92</f>
        <v>-7.8671328671328672E-2</v>
      </c>
      <c r="X79" s="752">
        <f>-'Procesy - AS IS'!X25*X92</f>
        <v>0</v>
      </c>
      <c r="Y79" s="752">
        <f>-'Procesy - AS IS'!Y25*Y92</f>
        <v>-0.50349650349650354</v>
      </c>
      <c r="Z79" s="752">
        <f>-'Procesy - AS IS'!Z25*Z92</f>
        <v>-3.9160839160839164E-2</v>
      </c>
      <c r="AA79" s="752">
        <f>-'Procesy - AS IS'!AA25*AA92</f>
        <v>-3.4265734265734267E-2</v>
      </c>
      <c r="AB79" s="752">
        <f>-'Procesy - AS IS'!AB25*AB92</f>
        <v>0</v>
      </c>
      <c r="AC79" s="752">
        <f>-'Procesy - AS IS'!AC25*AC92</f>
        <v>-0.34265734265734271</v>
      </c>
      <c r="AD79" s="903">
        <f>SUM(D79:AC79)</f>
        <v>-9.597421328671329</v>
      </c>
      <c r="AE79" s="880">
        <f>AD79/'Procesy - AS IS'!AD25</f>
        <v>-0.21062884877318858</v>
      </c>
      <c r="AF79" s="881">
        <f>'Procesy - AS IS'!AG25/(1+$AE79)-'Procesy - AS IS'!AG25</f>
        <v>38.156861101086207</v>
      </c>
      <c r="AG79" s="882">
        <f>'Procesy - AS IS'!AH25/(1+$AE79)-'Procesy - AS IS'!AH25</f>
        <v>13.341559825554619</v>
      </c>
      <c r="AH79" s="877">
        <f>'Procesy - AS IS'!AI25/(1+$AE79)-'Procesy - AS IS'!AI25</f>
        <v>12.00740384299916</v>
      </c>
      <c r="AI79" s="878">
        <f>'Procesy - AS IS'!AJ25/(1+$AE79)-'Procesy - AS IS'!AJ25</f>
        <v>1.867818375577647</v>
      </c>
    </row>
    <row r="80" spans="2:51" x14ac:dyDescent="0.3">
      <c r="B80" s="1150" t="s">
        <v>451</v>
      </c>
      <c r="C80" s="766" t="s">
        <v>409</v>
      </c>
      <c r="D80" s="771" t="s">
        <v>453</v>
      </c>
      <c r="E80" s="772" t="s">
        <v>453</v>
      </c>
      <c r="F80" s="890" t="s">
        <v>453</v>
      </c>
      <c r="G80" s="890" t="str">
        <f t="shared" ref="G80:G92" si="89">G66</f>
        <v>A</v>
      </c>
      <c r="H80" s="890"/>
      <c r="I80" s="890"/>
      <c r="J80" s="890"/>
      <c r="K80" s="890"/>
      <c r="L80" s="890" t="str">
        <f t="shared" ref="L80:M92" si="90">L66</f>
        <v>A</v>
      </c>
      <c r="M80" s="890" t="str">
        <f t="shared" si="90"/>
        <v>A</v>
      </c>
      <c r="N80" s="890" t="s">
        <v>453</v>
      </c>
      <c r="O80" s="890"/>
      <c r="P80" s="890" t="str">
        <f t="shared" ref="P80:R92" si="91">P66</f>
        <v>N</v>
      </c>
      <c r="Q80" s="890" t="str">
        <f t="shared" si="91"/>
        <v>A</v>
      </c>
      <c r="R80" s="890" t="str">
        <f t="shared" si="91"/>
        <v>A</v>
      </c>
      <c r="S80" s="890" t="str">
        <f t="shared" ref="S80:S92" si="92">R80</f>
        <v>A</v>
      </c>
      <c r="T80" s="890" t="str">
        <f t="shared" ref="T80:T92" si="93">R80</f>
        <v>A</v>
      </c>
      <c r="U80" s="890" t="str">
        <f t="shared" ref="U80:U92" si="94">G80</f>
        <v>A</v>
      </c>
      <c r="V80" s="890" t="str">
        <f t="shared" ref="V80:V92" si="95">V66</f>
        <v>A</v>
      </c>
      <c r="W80" s="890" t="str">
        <f t="shared" ref="W80:W91" si="96">W7</f>
        <v>A</v>
      </c>
      <c r="X80" s="890" t="str">
        <f t="shared" ref="X80:X92" si="97">G80</f>
        <v>A</v>
      </c>
      <c r="Y80" s="890" t="str">
        <f t="shared" ref="Y80:Y92" si="98">R80</f>
        <v>A</v>
      </c>
      <c r="Z80" s="890" t="str">
        <f t="shared" ref="Z80:Z92" si="99">R80</f>
        <v>A</v>
      </c>
      <c r="AA80" s="890" t="str">
        <f t="shared" ref="AA80:AA92" si="100">$V80</f>
        <v>A</v>
      </c>
      <c r="AB80" s="890" t="str">
        <f t="shared" ref="AB80:AB92" si="101">G80</f>
        <v>A</v>
      </c>
      <c r="AC80" s="890" t="str">
        <f t="shared" ref="AC80:AC92" si="102">R80</f>
        <v>A</v>
      </c>
      <c r="AD80" s="891"/>
      <c r="AE80" s="884"/>
      <c r="AF80" s="885"/>
      <c r="AG80" s="886"/>
      <c r="AH80" s="887"/>
      <c r="AI80" s="888"/>
    </row>
    <row r="81" spans="2:51" x14ac:dyDescent="0.3">
      <c r="B81" s="1151"/>
      <c r="C81" s="766" t="s">
        <v>411</v>
      </c>
      <c r="D81" s="889" t="s">
        <v>453</v>
      </c>
      <c r="E81" s="890" t="s">
        <v>453</v>
      </c>
      <c r="F81" s="890" t="s">
        <v>453</v>
      </c>
      <c r="G81" s="890" t="str">
        <f t="shared" si="89"/>
        <v>N</v>
      </c>
      <c r="H81" s="890"/>
      <c r="I81" s="890"/>
      <c r="J81" s="890"/>
      <c r="K81" s="890"/>
      <c r="L81" s="890" t="str">
        <f t="shared" si="90"/>
        <v>N</v>
      </c>
      <c r="M81" s="890" t="str">
        <f t="shared" si="90"/>
        <v>N</v>
      </c>
      <c r="N81" s="890" t="s">
        <v>453</v>
      </c>
      <c r="O81" s="890"/>
      <c r="P81" s="890" t="str">
        <f t="shared" si="91"/>
        <v>N</v>
      </c>
      <c r="Q81" s="890" t="str">
        <f t="shared" si="91"/>
        <v>N</v>
      </c>
      <c r="R81" s="890" t="str">
        <f t="shared" si="91"/>
        <v>N</v>
      </c>
      <c r="S81" s="890" t="str">
        <f t="shared" si="92"/>
        <v>N</v>
      </c>
      <c r="T81" s="890" t="str">
        <f t="shared" si="93"/>
        <v>N</v>
      </c>
      <c r="U81" s="890" t="str">
        <f t="shared" si="94"/>
        <v>N</v>
      </c>
      <c r="V81" s="890" t="str">
        <f t="shared" si="95"/>
        <v>N</v>
      </c>
      <c r="W81" s="890" t="str">
        <f t="shared" si="96"/>
        <v>N</v>
      </c>
      <c r="X81" s="890" t="str">
        <f t="shared" si="97"/>
        <v>N</v>
      </c>
      <c r="Y81" s="890" t="str">
        <f t="shared" si="98"/>
        <v>N</v>
      </c>
      <c r="Z81" s="890" t="str">
        <f t="shared" si="99"/>
        <v>N</v>
      </c>
      <c r="AA81" s="890" t="str">
        <f t="shared" si="100"/>
        <v>N</v>
      </c>
      <c r="AB81" s="890" t="str">
        <f t="shared" si="101"/>
        <v>N</v>
      </c>
      <c r="AC81" s="890" t="str">
        <f t="shared" si="102"/>
        <v>N</v>
      </c>
      <c r="AD81" s="891"/>
      <c r="AE81" s="884"/>
      <c r="AF81" s="885"/>
      <c r="AG81" s="886"/>
      <c r="AH81" s="887"/>
      <c r="AI81" s="888"/>
    </row>
    <row r="82" spans="2:51" x14ac:dyDescent="0.3">
      <c r="B82" s="1151"/>
      <c r="C82" s="766" t="s">
        <v>413</v>
      </c>
      <c r="D82" s="889" t="s">
        <v>453</v>
      </c>
      <c r="E82" s="890" t="s">
        <v>453</v>
      </c>
      <c r="F82" s="890" t="s">
        <v>453</v>
      </c>
      <c r="G82" s="890" t="str">
        <f t="shared" si="89"/>
        <v>N</v>
      </c>
      <c r="H82" s="890"/>
      <c r="I82" s="890"/>
      <c r="J82" s="890"/>
      <c r="K82" s="890"/>
      <c r="L82" s="890" t="str">
        <f t="shared" si="90"/>
        <v>N</v>
      </c>
      <c r="M82" s="890" t="str">
        <f t="shared" si="90"/>
        <v>N</v>
      </c>
      <c r="N82" s="890" t="s">
        <v>453</v>
      </c>
      <c r="O82" s="890"/>
      <c r="P82" s="890" t="str">
        <f t="shared" si="91"/>
        <v>N</v>
      </c>
      <c r="Q82" s="890" t="str">
        <f t="shared" si="91"/>
        <v>N</v>
      </c>
      <c r="R82" s="890" t="str">
        <f t="shared" si="91"/>
        <v>N</v>
      </c>
      <c r="S82" s="890" t="str">
        <f t="shared" si="92"/>
        <v>N</v>
      </c>
      <c r="T82" s="890" t="str">
        <f t="shared" si="93"/>
        <v>N</v>
      </c>
      <c r="U82" s="890" t="str">
        <f t="shared" si="94"/>
        <v>N</v>
      </c>
      <c r="V82" s="890" t="str">
        <f t="shared" si="95"/>
        <v>N</v>
      </c>
      <c r="W82" s="890" t="str">
        <f t="shared" si="96"/>
        <v>N</v>
      </c>
      <c r="X82" s="890" t="str">
        <f t="shared" si="97"/>
        <v>N</v>
      </c>
      <c r="Y82" s="890" t="str">
        <f t="shared" si="98"/>
        <v>N</v>
      </c>
      <c r="Z82" s="890" t="str">
        <f t="shared" si="99"/>
        <v>N</v>
      </c>
      <c r="AA82" s="890" t="str">
        <f t="shared" si="100"/>
        <v>N</v>
      </c>
      <c r="AB82" s="890" t="str">
        <f t="shared" si="101"/>
        <v>N</v>
      </c>
      <c r="AC82" s="890" t="str">
        <f t="shared" si="102"/>
        <v>N</v>
      </c>
      <c r="AD82" s="891"/>
      <c r="AE82" s="884"/>
      <c r="AF82" s="885"/>
      <c r="AG82" s="886"/>
      <c r="AH82" s="887"/>
      <c r="AI82" s="888"/>
    </row>
    <row r="83" spans="2:51" x14ac:dyDescent="0.3">
      <c r="B83" s="1151"/>
      <c r="C83" s="766" t="s">
        <v>415</v>
      </c>
      <c r="D83" s="892" t="s">
        <v>453</v>
      </c>
      <c r="E83" s="890" t="s">
        <v>453</v>
      </c>
      <c r="F83" s="890" t="s">
        <v>453</v>
      </c>
      <c r="G83" s="890" t="str">
        <f t="shared" si="89"/>
        <v>N</v>
      </c>
      <c r="H83" s="890"/>
      <c r="I83" s="890"/>
      <c r="J83" s="890"/>
      <c r="K83" s="890"/>
      <c r="L83" s="890" t="str">
        <f t="shared" si="90"/>
        <v>N</v>
      </c>
      <c r="M83" s="890" t="str">
        <f t="shared" si="90"/>
        <v>N</v>
      </c>
      <c r="N83" s="890" t="s">
        <v>453</v>
      </c>
      <c r="O83" s="890"/>
      <c r="P83" s="890" t="str">
        <f t="shared" si="91"/>
        <v>N</v>
      </c>
      <c r="Q83" s="890" t="str">
        <f t="shared" si="91"/>
        <v>N</v>
      </c>
      <c r="R83" s="890" t="str">
        <f t="shared" si="91"/>
        <v>N</v>
      </c>
      <c r="S83" s="890" t="str">
        <f t="shared" si="92"/>
        <v>N</v>
      </c>
      <c r="T83" s="890" t="str">
        <f t="shared" si="93"/>
        <v>N</v>
      </c>
      <c r="U83" s="890" t="str">
        <f t="shared" si="94"/>
        <v>N</v>
      </c>
      <c r="V83" s="890" t="str">
        <f t="shared" si="95"/>
        <v>N</v>
      </c>
      <c r="W83" s="890" t="str">
        <f t="shared" si="96"/>
        <v>N</v>
      </c>
      <c r="X83" s="890" t="str">
        <f t="shared" si="97"/>
        <v>N</v>
      </c>
      <c r="Y83" s="890" t="str">
        <f t="shared" si="98"/>
        <v>N</v>
      </c>
      <c r="Z83" s="890" t="str">
        <f t="shared" si="99"/>
        <v>N</v>
      </c>
      <c r="AA83" s="890" t="str">
        <f t="shared" si="100"/>
        <v>N</v>
      </c>
      <c r="AB83" s="890" t="str">
        <f t="shared" si="101"/>
        <v>N</v>
      </c>
      <c r="AC83" s="890" t="str">
        <f t="shared" si="102"/>
        <v>N</v>
      </c>
      <c r="AD83" s="891"/>
      <c r="AE83" s="884"/>
      <c r="AF83" s="885"/>
      <c r="AG83" s="886"/>
      <c r="AH83" s="887"/>
      <c r="AI83" s="888"/>
    </row>
    <row r="84" spans="2:51" x14ac:dyDescent="0.3">
      <c r="B84" s="1151"/>
      <c r="C84" s="766" t="s">
        <v>417</v>
      </c>
      <c r="D84" s="892" t="s">
        <v>453</v>
      </c>
      <c r="E84" s="890" t="s">
        <v>453</v>
      </c>
      <c r="F84" s="890" t="s">
        <v>453</v>
      </c>
      <c r="G84" s="890" t="str">
        <f t="shared" si="89"/>
        <v>A</v>
      </c>
      <c r="H84" s="890"/>
      <c r="I84" s="890"/>
      <c r="J84" s="890"/>
      <c r="K84" s="890"/>
      <c r="L84" s="890" t="str">
        <f t="shared" si="90"/>
        <v>A</v>
      </c>
      <c r="M84" s="890" t="str">
        <f t="shared" si="90"/>
        <v>A</v>
      </c>
      <c r="N84" s="890" t="s">
        <v>453</v>
      </c>
      <c r="O84" s="890"/>
      <c r="P84" s="890" t="str">
        <f t="shared" si="91"/>
        <v>N</v>
      </c>
      <c r="Q84" s="890" t="str">
        <f t="shared" si="91"/>
        <v>A</v>
      </c>
      <c r="R84" s="890" t="str">
        <f t="shared" si="91"/>
        <v>A</v>
      </c>
      <c r="S84" s="890" t="str">
        <f t="shared" si="92"/>
        <v>A</v>
      </c>
      <c r="T84" s="890" t="str">
        <f t="shared" si="93"/>
        <v>A</v>
      </c>
      <c r="U84" s="890" t="str">
        <f t="shared" si="94"/>
        <v>A</v>
      </c>
      <c r="V84" s="890" t="str">
        <f t="shared" si="95"/>
        <v>A</v>
      </c>
      <c r="W84" s="890" t="str">
        <f t="shared" si="96"/>
        <v>A</v>
      </c>
      <c r="X84" s="890" t="str">
        <f t="shared" si="97"/>
        <v>A</v>
      </c>
      <c r="Y84" s="890" t="str">
        <f t="shared" si="98"/>
        <v>A</v>
      </c>
      <c r="Z84" s="890" t="str">
        <f t="shared" si="99"/>
        <v>A</v>
      </c>
      <c r="AA84" s="890" t="str">
        <f t="shared" si="100"/>
        <v>A</v>
      </c>
      <c r="AB84" s="890" t="str">
        <f t="shared" si="101"/>
        <v>A</v>
      </c>
      <c r="AC84" s="890" t="str">
        <f t="shared" si="102"/>
        <v>A</v>
      </c>
      <c r="AD84" s="891"/>
      <c r="AE84" s="884"/>
      <c r="AF84" s="885"/>
      <c r="AG84" s="886"/>
      <c r="AH84" s="887"/>
      <c r="AI84" s="888"/>
    </row>
    <row r="85" spans="2:51" x14ac:dyDescent="0.3">
      <c r="B85" s="1151"/>
      <c r="C85" s="766" t="s">
        <v>419</v>
      </c>
      <c r="D85" s="892" t="s">
        <v>453</v>
      </c>
      <c r="E85" s="890" t="s">
        <v>453</v>
      </c>
      <c r="F85" s="890" t="s">
        <v>453</v>
      </c>
      <c r="G85" s="890" t="str">
        <f t="shared" si="89"/>
        <v>A</v>
      </c>
      <c r="H85" s="890"/>
      <c r="I85" s="890"/>
      <c r="J85" s="890"/>
      <c r="K85" s="890"/>
      <c r="L85" s="890" t="str">
        <f t="shared" si="90"/>
        <v>A</v>
      </c>
      <c r="M85" s="890" t="str">
        <f t="shared" si="90"/>
        <v>A</v>
      </c>
      <c r="N85" s="890" t="s">
        <v>453</v>
      </c>
      <c r="O85" s="890"/>
      <c r="P85" s="890" t="str">
        <f t="shared" si="91"/>
        <v>N</v>
      </c>
      <c r="Q85" s="890" t="str">
        <f t="shared" si="91"/>
        <v>A</v>
      </c>
      <c r="R85" s="890" t="str">
        <f t="shared" si="91"/>
        <v>A</v>
      </c>
      <c r="S85" s="890" t="str">
        <f t="shared" si="92"/>
        <v>A</v>
      </c>
      <c r="T85" s="890" t="str">
        <f t="shared" si="93"/>
        <v>A</v>
      </c>
      <c r="U85" s="890" t="str">
        <f t="shared" si="94"/>
        <v>A</v>
      </c>
      <c r="V85" s="890" t="str">
        <f t="shared" si="95"/>
        <v>A</v>
      </c>
      <c r="W85" s="890" t="str">
        <f t="shared" si="96"/>
        <v>A</v>
      </c>
      <c r="X85" s="890" t="str">
        <f t="shared" si="97"/>
        <v>A</v>
      </c>
      <c r="Y85" s="890" t="str">
        <f t="shared" si="98"/>
        <v>A</v>
      </c>
      <c r="Z85" s="890" t="str">
        <f t="shared" si="99"/>
        <v>A</v>
      </c>
      <c r="AA85" s="890" t="str">
        <f t="shared" si="100"/>
        <v>A</v>
      </c>
      <c r="AB85" s="890" t="str">
        <f t="shared" si="101"/>
        <v>A</v>
      </c>
      <c r="AC85" s="890" t="str">
        <f t="shared" si="102"/>
        <v>A</v>
      </c>
      <c r="AD85" s="891"/>
      <c r="AE85" s="884"/>
      <c r="AF85" s="885"/>
      <c r="AG85" s="886"/>
      <c r="AH85" s="887"/>
      <c r="AI85" s="888"/>
    </row>
    <row r="86" spans="2:51" x14ac:dyDescent="0.3">
      <c r="B86" s="1151"/>
      <c r="C86" s="766" t="s">
        <v>421</v>
      </c>
      <c r="D86" s="892" t="s">
        <v>453</v>
      </c>
      <c r="E86" s="890" t="s">
        <v>453</v>
      </c>
      <c r="F86" s="890" t="s">
        <v>453</v>
      </c>
      <c r="G86" s="890" t="str">
        <f t="shared" si="89"/>
        <v>A</v>
      </c>
      <c r="H86" s="890"/>
      <c r="I86" s="890"/>
      <c r="J86" s="890"/>
      <c r="K86" s="890"/>
      <c r="L86" s="890" t="str">
        <f t="shared" si="90"/>
        <v>N</v>
      </c>
      <c r="M86" s="890" t="str">
        <f t="shared" si="90"/>
        <v>A</v>
      </c>
      <c r="N86" s="890" t="s">
        <v>453</v>
      </c>
      <c r="O86" s="890"/>
      <c r="P86" s="890" t="str">
        <f t="shared" si="91"/>
        <v>N</v>
      </c>
      <c r="Q86" s="890" t="str">
        <f t="shared" si="91"/>
        <v>A</v>
      </c>
      <c r="R86" s="890" t="str">
        <f t="shared" si="91"/>
        <v>N</v>
      </c>
      <c r="S86" s="890" t="str">
        <f t="shared" si="92"/>
        <v>N</v>
      </c>
      <c r="T86" s="890" t="str">
        <f t="shared" si="93"/>
        <v>N</v>
      </c>
      <c r="U86" s="890" t="str">
        <f t="shared" si="94"/>
        <v>A</v>
      </c>
      <c r="V86" s="890" t="str">
        <f t="shared" si="95"/>
        <v>A</v>
      </c>
      <c r="W86" s="890" t="str">
        <f t="shared" si="96"/>
        <v>A</v>
      </c>
      <c r="X86" s="890" t="str">
        <f t="shared" si="97"/>
        <v>A</v>
      </c>
      <c r="Y86" s="890" t="str">
        <f t="shared" si="98"/>
        <v>N</v>
      </c>
      <c r="Z86" s="890" t="str">
        <f t="shared" si="99"/>
        <v>N</v>
      </c>
      <c r="AA86" s="890" t="str">
        <f t="shared" si="100"/>
        <v>A</v>
      </c>
      <c r="AB86" s="890" t="str">
        <f t="shared" si="101"/>
        <v>A</v>
      </c>
      <c r="AC86" s="890" t="str">
        <f t="shared" si="102"/>
        <v>N</v>
      </c>
      <c r="AD86" s="891"/>
      <c r="AE86" s="884"/>
      <c r="AF86" s="885"/>
      <c r="AG86" s="886"/>
      <c r="AH86" s="887"/>
      <c r="AI86" s="888"/>
      <c r="AK86" s="252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</row>
    <row r="87" spans="2:51" x14ac:dyDescent="0.3">
      <c r="B87" s="1151"/>
      <c r="C87" s="766" t="s">
        <v>423</v>
      </c>
      <c r="D87" s="892" t="s">
        <v>453</v>
      </c>
      <c r="E87" s="890" t="s">
        <v>453</v>
      </c>
      <c r="F87" s="890" t="s">
        <v>453</v>
      </c>
      <c r="G87" s="890" t="str">
        <f t="shared" si="89"/>
        <v>A</v>
      </c>
      <c r="H87" s="890"/>
      <c r="I87" s="890"/>
      <c r="J87" s="890"/>
      <c r="K87" s="890"/>
      <c r="L87" s="890" t="str">
        <f t="shared" si="90"/>
        <v>N</v>
      </c>
      <c r="M87" s="890" t="str">
        <f t="shared" si="90"/>
        <v>A</v>
      </c>
      <c r="N87" s="890" t="s">
        <v>453</v>
      </c>
      <c r="O87" s="890"/>
      <c r="P87" s="890" t="str">
        <f t="shared" si="91"/>
        <v>N</v>
      </c>
      <c r="Q87" s="890" t="str">
        <f t="shared" si="91"/>
        <v>A</v>
      </c>
      <c r="R87" s="890" t="str">
        <f t="shared" si="91"/>
        <v>N</v>
      </c>
      <c r="S87" s="890" t="str">
        <f t="shared" si="92"/>
        <v>N</v>
      </c>
      <c r="T87" s="890" t="str">
        <f t="shared" si="93"/>
        <v>N</v>
      </c>
      <c r="U87" s="890" t="str">
        <f t="shared" si="94"/>
        <v>A</v>
      </c>
      <c r="V87" s="890" t="str">
        <f t="shared" si="95"/>
        <v>A</v>
      </c>
      <c r="W87" s="890" t="str">
        <f t="shared" si="96"/>
        <v>A</v>
      </c>
      <c r="X87" s="890" t="str">
        <f t="shared" si="97"/>
        <v>A</v>
      </c>
      <c r="Y87" s="890" t="str">
        <f t="shared" si="98"/>
        <v>N</v>
      </c>
      <c r="Z87" s="890" t="str">
        <f t="shared" si="99"/>
        <v>N</v>
      </c>
      <c r="AA87" s="890" t="str">
        <f t="shared" si="100"/>
        <v>A</v>
      </c>
      <c r="AB87" s="890" t="str">
        <f t="shared" si="101"/>
        <v>A</v>
      </c>
      <c r="AC87" s="890" t="str">
        <f t="shared" si="102"/>
        <v>N</v>
      </c>
      <c r="AD87" s="891"/>
      <c r="AE87" s="884"/>
      <c r="AF87" s="885"/>
      <c r="AG87" s="886"/>
      <c r="AH87" s="887"/>
      <c r="AI87" s="888"/>
      <c r="AK87" s="252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</row>
    <row r="88" spans="2:51" x14ac:dyDescent="0.3">
      <c r="B88" s="1151"/>
      <c r="C88" s="766" t="s">
        <v>425</v>
      </c>
      <c r="D88" s="892" t="s">
        <v>453</v>
      </c>
      <c r="E88" s="890" t="s">
        <v>453</v>
      </c>
      <c r="F88" s="890" t="s">
        <v>453</v>
      </c>
      <c r="G88" s="890" t="str">
        <f t="shared" si="89"/>
        <v>N</v>
      </c>
      <c r="H88" s="890"/>
      <c r="I88" s="890"/>
      <c r="J88" s="890"/>
      <c r="K88" s="890"/>
      <c r="L88" s="890" t="str">
        <f t="shared" si="90"/>
        <v>N</v>
      </c>
      <c r="M88" s="890" t="str">
        <f t="shared" si="90"/>
        <v>N</v>
      </c>
      <c r="N88" s="890" t="s">
        <v>453</v>
      </c>
      <c r="O88" s="890"/>
      <c r="P88" s="890" t="str">
        <f t="shared" si="91"/>
        <v>N</v>
      </c>
      <c r="Q88" s="890" t="str">
        <f t="shared" si="91"/>
        <v>N</v>
      </c>
      <c r="R88" s="890" t="str">
        <f t="shared" si="91"/>
        <v>N</v>
      </c>
      <c r="S88" s="890" t="str">
        <f t="shared" si="92"/>
        <v>N</v>
      </c>
      <c r="T88" s="890" t="str">
        <f t="shared" si="93"/>
        <v>N</v>
      </c>
      <c r="U88" s="890" t="str">
        <f t="shared" si="94"/>
        <v>N</v>
      </c>
      <c r="V88" s="890" t="str">
        <f t="shared" si="95"/>
        <v>A</v>
      </c>
      <c r="W88" s="890" t="str">
        <f t="shared" si="96"/>
        <v>N</v>
      </c>
      <c r="X88" s="890" t="str">
        <f t="shared" si="97"/>
        <v>N</v>
      </c>
      <c r="Y88" s="890" t="str">
        <f t="shared" si="98"/>
        <v>N</v>
      </c>
      <c r="Z88" s="890" t="str">
        <f t="shared" si="99"/>
        <v>N</v>
      </c>
      <c r="AA88" s="890" t="str">
        <f t="shared" si="100"/>
        <v>A</v>
      </c>
      <c r="AB88" s="890" t="str">
        <f t="shared" si="101"/>
        <v>N</v>
      </c>
      <c r="AC88" s="890" t="str">
        <f t="shared" si="102"/>
        <v>N</v>
      </c>
      <c r="AD88" s="891"/>
      <c r="AE88" s="884"/>
      <c r="AF88" s="885"/>
      <c r="AG88" s="886"/>
      <c r="AH88" s="887"/>
      <c r="AI88" s="888"/>
      <c r="AK88" s="252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</row>
    <row r="89" spans="2:51" x14ac:dyDescent="0.3">
      <c r="B89" s="1151"/>
      <c r="C89" s="766" t="s">
        <v>427</v>
      </c>
      <c r="D89" s="892" t="s">
        <v>453</v>
      </c>
      <c r="E89" s="890" t="s">
        <v>453</v>
      </c>
      <c r="F89" s="890" t="s">
        <v>453</v>
      </c>
      <c r="G89" s="890" t="str">
        <f t="shared" si="89"/>
        <v>A</v>
      </c>
      <c r="H89" s="890"/>
      <c r="I89" s="890"/>
      <c r="J89" s="890"/>
      <c r="K89" s="890"/>
      <c r="L89" s="890" t="str">
        <f t="shared" si="90"/>
        <v>A</v>
      </c>
      <c r="M89" s="890" t="str">
        <f t="shared" si="90"/>
        <v>A</v>
      </c>
      <c r="N89" s="890" t="s">
        <v>453</v>
      </c>
      <c r="O89" s="890"/>
      <c r="P89" s="890" t="str">
        <f t="shared" si="91"/>
        <v>N</v>
      </c>
      <c r="Q89" s="890" t="str">
        <f t="shared" si="91"/>
        <v>A</v>
      </c>
      <c r="R89" s="890" t="str">
        <f t="shared" si="91"/>
        <v>A</v>
      </c>
      <c r="S89" s="890" t="str">
        <f t="shared" si="92"/>
        <v>A</v>
      </c>
      <c r="T89" s="890" t="str">
        <f t="shared" si="93"/>
        <v>A</v>
      </c>
      <c r="U89" s="890" t="str">
        <f t="shared" si="94"/>
        <v>A</v>
      </c>
      <c r="V89" s="890" t="str">
        <f t="shared" si="95"/>
        <v>A</v>
      </c>
      <c r="W89" s="890" t="str">
        <f t="shared" si="96"/>
        <v>A</v>
      </c>
      <c r="X89" s="890" t="str">
        <f t="shared" si="97"/>
        <v>A</v>
      </c>
      <c r="Y89" s="890" t="str">
        <f t="shared" si="98"/>
        <v>A</v>
      </c>
      <c r="Z89" s="890" t="str">
        <f t="shared" si="99"/>
        <v>A</v>
      </c>
      <c r="AA89" s="890" t="str">
        <f t="shared" si="100"/>
        <v>A</v>
      </c>
      <c r="AB89" s="890" t="str">
        <f t="shared" si="101"/>
        <v>A</v>
      </c>
      <c r="AC89" s="890" t="str">
        <f t="shared" si="102"/>
        <v>A</v>
      </c>
      <c r="AD89" s="891"/>
      <c r="AE89" s="884"/>
      <c r="AF89" s="885"/>
      <c r="AG89" s="886"/>
      <c r="AH89" s="887"/>
      <c r="AI89" s="888"/>
    </row>
    <row r="90" spans="2:51" x14ac:dyDescent="0.3">
      <c r="B90" s="1151"/>
      <c r="C90" s="766" t="s">
        <v>429</v>
      </c>
      <c r="D90" s="892" t="s">
        <v>453</v>
      </c>
      <c r="E90" s="890" t="s">
        <v>453</v>
      </c>
      <c r="F90" s="890" t="s">
        <v>453</v>
      </c>
      <c r="G90" s="890" t="str">
        <f t="shared" si="89"/>
        <v>N</v>
      </c>
      <c r="H90" s="890"/>
      <c r="I90" s="890"/>
      <c r="J90" s="890"/>
      <c r="K90" s="890"/>
      <c r="L90" s="890" t="str">
        <f t="shared" si="90"/>
        <v>N</v>
      </c>
      <c r="M90" s="890" t="str">
        <f t="shared" si="90"/>
        <v>N</v>
      </c>
      <c r="N90" s="890" t="s">
        <v>453</v>
      </c>
      <c r="O90" s="890"/>
      <c r="P90" s="890" t="str">
        <f t="shared" si="91"/>
        <v>N</v>
      </c>
      <c r="Q90" s="890" t="str">
        <f t="shared" si="91"/>
        <v>N</v>
      </c>
      <c r="R90" s="890" t="str">
        <f t="shared" si="91"/>
        <v>N</v>
      </c>
      <c r="S90" s="890" t="str">
        <f t="shared" si="92"/>
        <v>N</v>
      </c>
      <c r="T90" s="890" t="str">
        <f t="shared" si="93"/>
        <v>N</v>
      </c>
      <c r="U90" s="890" t="str">
        <f t="shared" si="94"/>
        <v>N</v>
      </c>
      <c r="V90" s="890" t="str">
        <f t="shared" si="95"/>
        <v>N</v>
      </c>
      <c r="W90" s="890" t="str">
        <f t="shared" si="96"/>
        <v>N</v>
      </c>
      <c r="X90" s="890" t="str">
        <f t="shared" si="97"/>
        <v>N</v>
      </c>
      <c r="Y90" s="890" t="str">
        <f t="shared" si="98"/>
        <v>N</v>
      </c>
      <c r="Z90" s="890" t="str">
        <f t="shared" si="99"/>
        <v>N</v>
      </c>
      <c r="AA90" s="890" t="str">
        <f t="shared" si="100"/>
        <v>N</v>
      </c>
      <c r="AB90" s="890" t="str">
        <f t="shared" si="101"/>
        <v>N</v>
      </c>
      <c r="AC90" s="890" t="str">
        <f t="shared" si="102"/>
        <v>N</v>
      </c>
      <c r="AD90" s="891"/>
      <c r="AE90" s="884"/>
      <c r="AF90" s="885"/>
      <c r="AG90" s="886"/>
      <c r="AH90" s="887"/>
      <c r="AI90" s="888"/>
    </row>
    <row r="91" spans="2:51" x14ac:dyDescent="0.3">
      <c r="B91" s="1151"/>
      <c r="C91" s="770" t="s">
        <v>431</v>
      </c>
      <c r="D91" s="892" t="s">
        <v>453</v>
      </c>
      <c r="E91" s="890" t="s">
        <v>453</v>
      </c>
      <c r="F91" s="890" t="s">
        <v>453</v>
      </c>
      <c r="G91" s="890" t="str">
        <f t="shared" si="89"/>
        <v>N</v>
      </c>
      <c r="H91" s="890"/>
      <c r="I91" s="890"/>
      <c r="J91" s="890"/>
      <c r="K91" s="890"/>
      <c r="L91" s="890" t="str">
        <f t="shared" si="90"/>
        <v>A</v>
      </c>
      <c r="M91" s="890" t="str">
        <f t="shared" si="90"/>
        <v>N</v>
      </c>
      <c r="N91" s="890" t="s">
        <v>453</v>
      </c>
      <c r="O91" s="890"/>
      <c r="P91" s="890" t="str">
        <f t="shared" si="91"/>
        <v>N</v>
      </c>
      <c r="Q91" s="890" t="str">
        <f t="shared" si="91"/>
        <v>N</v>
      </c>
      <c r="R91" s="890" t="str">
        <f t="shared" si="91"/>
        <v>A</v>
      </c>
      <c r="S91" s="890" t="str">
        <f t="shared" si="92"/>
        <v>A</v>
      </c>
      <c r="T91" s="890" t="str">
        <f t="shared" si="93"/>
        <v>A</v>
      </c>
      <c r="U91" s="890" t="str">
        <f t="shared" si="94"/>
        <v>N</v>
      </c>
      <c r="V91" s="890" t="str">
        <f t="shared" si="95"/>
        <v>A</v>
      </c>
      <c r="W91" s="890" t="str">
        <f t="shared" si="96"/>
        <v>N</v>
      </c>
      <c r="X91" s="890" t="str">
        <f t="shared" si="97"/>
        <v>N</v>
      </c>
      <c r="Y91" s="890" t="str">
        <f t="shared" si="98"/>
        <v>A</v>
      </c>
      <c r="Z91" s="890" t="str">
        <f t="shared" si="99"/>
        <v>A</v>
      </c>
      <c r="AA91" s="890" t="str">
        <f t="shared" si="100"/>
        <v>A</v>
      </c>
      <c r="AB91" s="890" t="str">
        <f t="shared" si="101"/>
        <v>N</v>
      </c>
      <c r="AC91" s="890" t="str">
        <f t="shared" si="102"/>
        <v>A</v>
      </c>
      <c r="AD91" s="891"/>
      <c r="AE91" s="884"/>
      <c r="AF91" s="885"/>
      <c r="AG91" s="886"/>
      <c r="AH91" s="887"/>
      <c r="AI91" s="888"/>
    </row>
    <row r="92" spans="2:51" x14ac:dyDescent="0.3">
      <c r="B92" s="893"/>
      <c r="C92" s="894" t="s">
        <v>461</v>
      </c>
      <c r="D92" s="895">
        <v>0</v>
      </c>
      <c r="E92" s="896">
        <v>0</v>
      </c>
      <c r="F92" s="897">
        <v>0</v>
      </c>
      <c r="G92" s="897">
        <f t="shared" si="89"/>
        <v>0.25</v>
      </c>
      <c r="H92" s="897"/>
      <c r="I92" s="897"/>
      <c r="J92" s="897"/>
      <c r="K92" s="897"/>
      <c r="L92" s="897">
        <f t="shared" si="90"/>
        <v>0.2</v>
      </c>
      <c r="M92" s="897">
        <f t="shared" si="90"/>
        <v>0.25</v>
      </c>
      <c r="N92" s="897">
        <v>0</v>
      </c>
      <c r="O92" s="897"/>
      <c r="P92" s="897">
        <f t="shared" si="91"/>
        <v>0</v>
      </c>
      <c r="Q92" s="897">
        <f t="shared" si="91"/>
        <v>0.25</v>
      </c>
      <c r="R92" s="897">
        <f t="shared" si="91"/>
        <v>0.2</v>
      </c>
      <c r="S92" s="897">
        <f t="shared" si="92"/>
        <v>0.2</v>
      </c>
      <c r="T92" s="897">
        <f t="shared" si="93"/>
        <v>0.2</v>
      </c>
      <c r="U92" s="897">
        <f t="shared" si="94"/>
        <v>0.25</v>
      </c>
      <c r="V92" s="897">
        <f t="shared" si="95"/>
        <v>0.35</v>
      </c>
      <c r="W92" s="897">
        <f t="shared" ref="W92" si="103">W20</f>
        <v>0.25</v>
      </c>
      <c r="X92" s="897">
        <f t="shared" si="97"/>
        <v>0.25</v>
      </c>
      <c r="Y92" s="897">
        <f t="shared" si="98"/>
        <v>0.2</v>
      </c>
      <c r="Z92" s="897">
        <f t="shared" si="99"/>
        <v>0.2</v>
      </c>
      <c r="AA92" s="897">
        <f t="shared" si="100"/>
        <v>0.35</v>
      </c>
      <c r="AB92" s="897">
        <f t="shared" si="101"/>
        <v>0.25</v>
      </c>
      <c r="AC92" s="897">
        <f t="shared" si="102"/>
        <v>0.2</v>
      </c>
      <c r="AD92" s="898"/>
      <c r="AE92" s="899"/>
      <c r="AF92" s="900"/>
      <c r="AG92" s="901"/>
      <c r="AH92" s="901"/>
      <c r="AI92" s="902"/>
    </row>
    <row r="93" spans="2:51" ht="28.8" customHeight="1" x14ac:dyDescent="0.3">
      <c r="B93" s="256" t="str">
        <f>'Procesy - AS IS'!B26</f>
        <v>Meranie č. 7</v>
      </c>
      <c r="C93" s="749" t="str">
        <f>'Procesy - AS IS'!$C$26</f>
        <v>BIO-plus, s.r.o., Kontrola kvality palív, 1020/2018</v>
      </c>
      <c r="D93" s="872">
        <f>-'Procesy - AS IS'!D28*D106</f>
        <v>0</v>
      </c>
      <c r="E93" s="752">
        <f>-'Procesy - AS IS'!E28*E106</f>
        <v>0</v>
      </c>
      <c r="F93" s="752">
        <f>-'Procesy - AS IS'!F28*F106</f>
        <v>0</v>
      </c>
      <c r="G93" s="752">
        <f>-'Procesy - AS IS'!G28*G106</f>
        <v>-1</v>
      </c>
      <c r="H93" s="752" t="s">
        <v>523</v>
      </c>
      <c r="I93" s="752" t="s">
        <v>523</v>
      </c>
      <c r="J93" s="752" t="s">
        <v>523</v>
      </c>
      <c r="K93" s="752" t="s">
        <v>523</v>
      </c>
      <c r="L93" s="752">
        <f>-'Procesy - AS IS'!L28*L106</f>
        <v>-0.05</v>
      </c>
      <c r="M93" s="752">
        <f>-'Procesy - AS IS'!M28*M106</f>
        <v>0</v>
      </c>
      <c r="N93" s="752">
        <f>-'Procesy - AS IS'!N28*N106</f>
        <v>0</v>
      </c>
      <c r="O93" s="752" t="s">
        <v>524</v>
      </c>
      <c r="P93" s="752">
        <f>-'Procesy - AS IS'!P28*P106</f>
        <v>0</v>
      </c>
      <c r="Q93" s="752">
        <f>-'Procesy - AS IS'!Q28*Q106</f>
        <v>0</v>
      </c>
      <c r="R93" s="752">
        <f>-'Procesy - AS IS'!R28*R106</f>
        <v>-0.11695906432748537</v>
      </c>
      <c r="S93" s="752">
        <f>-'Procesy - AS IS'!S28*S106</f>
        <v>0</v>
      </c>
      <c r="T93" s="752">
        <f>-'Procesy - AS IS'!T28*T106</f>
        <v>-4.6783625730994149E-2</v>
      </c>
      <c r="U93" s="752">
        <f>-'Procesy - AS IS'!U28*U106</f>
        <v>-1.9415204678362574</v>
      </c>
      <c r="V93" s="752">
        <f>-'Procesy - AS IS'!V28*V106</f>
        <v>-0.35</v>
      </c>
      <c r="W93" s="752">
        <f>-'Procesy - AS IS'!W28*W106</f>
        <v>-1.1695906432748537E-2</v>
      </c>
      <c r="X93" s="752">
        <f>-'Procesy - AS IS'!X28*X106</f>
        <v>0</v>
      </c>
      <c r="Y93" s="752">
        <f>-'Procesy - AS IS'!Y28*Y106</f>
        <v>-7.4853801169590645E-2</v>
      </c>
      <c r="Z93" s="752">
        <f>-'Procesy - AS IS'!Z28*Z106</f>
        <v>-9.3567251461988306E-3</v>
      </c>
      <c r="AA93" s="752">
        <f>-'Procesy - AS IS'!AA28*AA106</f>
        <v>-3.2748538011695902E-2</v>
      </c>
      <c r="AB93" s="752">
        <f>-'Procesy - AS IS'!AB28*AB106</f>
        <v>-7.4853801169590645E-2</v>
      </c>
      <c r="AC93" s="752">
        <f>-'Procesy - AS IS'!AC28*AC106</f>
        <v>-0.1871345029239766</v>
      </c>
      <c r="AD93" s="903">
        <f>SUM(D93:AC93)</f>
        <v>-3.8959064327485384</v>
      </c>
      <c r="AE93" s="880">
        <f>AD93/'Procesy - AS IS'!AD28</f>
        <v>-0.24804989295355118</v>
      </c>
      <c r="AF93" s="881">
        <f>'Procesy - AS IS'!AG28/(1+$AE93)-'Procesy - AS IS'!AG28</f>
        <v>56.408704909509567</v>
      </c>
      <c r="AG93" s="882">
        <f>'Procesy - AS IS'!AH28/(1+$AE93)-'Procesy - AS IS'!AH28</f>
        <v>1.649377336535367</v>
      </c>
      <c r="AH93" s="877">
        <f>'Procesy - AS IS'!AI28/(1+$AE93)-'Procesy - AS IS'!AI28</f>
        <v>1.3195018692282936</v>
      </c>
      <c r="AI93" s="878">
        <f>'Procesy - AS IS'!AJ28/(1+$AE93)-'Procesy - AS IS'!AJ28</f>
        <v>1.3195018692282936</v>
      </c>
    </row>
    <row r="94" spans="2:51" x14ac:dyDescent="0.3">
      <c r="B94" s="1150" t="s">
        <v>451</v>
      </c>
      <c r="C94" s="766" t="s">
        <v>409</v>
      </c>
      <c r="D94" s="890" t="s">
        <v>453</v>
      </c>
      <c r="E94" s="772" t="s">
        <v>453</v>
      </c>
      <c r="F94" s="890" t="s">
        <v>453</v>
      </c>
      <c r="G94" s="890" t="str">
        <f t="shared" ref="G94:G106" si="104">G80</f>
        <v>A</v>
      </c>
      <c r="H94" s="890"/>
      <c r="I94" s="890"/>
      <c r="J94" s="890"/>
      <c r="K94" s="890"/>
      <c r="L94" s="890" t="str">
        <f t="shared" ref="L94:M106" si="105">L80</f>
        <v>A</v>
      </c>
      <c r="M94" s="890" t="str">
        <f t="shared" si="105"/>
        <v>A</v>
      </c>
      <c r="N94" s="890" t="str">
        <f t="shared" ref="N94:N106" si="106">G94</f>
        <v>A</v>
      </c>
      <c r="O94" s="890"/>
      <c r="P94" s="890" t="str">
        <f t="shared" ref="P94:Q106" si="107">P66</f>
        <v>N</v>
      </c>
      <c r="Q94" s="890" t="str">
        <f t="shared" si="107"/>
        <v>A</v>
      </c>
      <c r="R94" s="890" t="str">
        <f t="shared" ref="R94:R106" si="108">R80</f>
        <v>A</v>
      </c>
      <c r="S94" s="890" t="str">
        <f t="shared" ref="S94:S106" si="109">R94</f>
        <v>A</v>
      </c>
      <c r="T94" s="890" t="str">
        <f t="shared" ref="T94:T106" si="110">R66</f>
        <v>A</v>
      </c>
      <c r="U94" s="890" t="str">
        <f t="shared" ref="U94:U106" si="111">$G94</f>
        <v>A</v>
      </c>
      <c r="V94" s="890" t="str">
        <f t="shared" ref="V94:V106" si="112">V66</f>
        <v>A</v>
      </c>
      <c r="W94" s="890" t="str">
        <f t="shared" ref="W94:W105" si="113">W7</f>
        <v>A</v>
      </c>
      <c r="X94" s="890" t="str">
        <f t="shared" ref="X94:X106" si="114">$G94</f>
        <v>A</v>
      </c>
      <c r="Y94" s="890" t="str">
        <f t="shared" ref="Y94:Y106" si="115">$R94</f>
        <v>A</v>
      </c>
      <c r="Z94" s="890" t="str">
        <f t="shared" ref="Z94:Z106" si="116">R66</f>
        <v>A</v>
      </c>
      <c r="AA94" s="890" t="str">
        <f t="shared" ref="AA94:AA106" si="117">$V94</f>
        <v>A</v>
      </c>
      <c r="AB94" s="890" t="str">
        <f t="shared" ref="AB94:AC106" si="118">$R94</f>
        <v>A</v>
      </c>
      <c r="AC94" s="890" t="str">
        <f t="shared" si="118"/>
        <v>A</v>
      </c>
      <c r="AD94" s="891"/>
      <c r="AE94" s="884"/>
      <c r="AF94" s="885"/>
      <c r="AG94" s="886"/>
      <c r="AH94" s="887"/>
      <c r="AI94" s="888"/>
    </row>
    <row r="95" spans="2:51" x14ac:dyDescent="0.3">
      <c r="B95" s="1151"/>
      <c r="C95" s="766" t="s">
        <v>411</v>
      </c>
      <c r="D95" s="889" t="s">
        <v>453</v>
      </c>
      <c r="E95" s="890" t="s">
        <v>453</v>
      </c>
      <c r="F95" s="890" t="s">
        <v>453</v>
      </c>
      <c r="G95" s="890" t="str">
        <f t="shared" si="104"/>
        <v>N</v>
      </c>
      <c r="H95" s="890"/>
      <c r="I95" s="890"/>
      <c r="J95" s="890"/>
      <c r="K95" s="890"/>
      <c r="L95" s="890" t="str">
        <f t="shared" si="105"/>
        <v>N</v>
      </c>
      <c r="M95" s="890" t="str">
        <f t="shared" si="105"/>
        <v>N</v>
      </c>
      <c r="N95" s="890" t="str">
        <f t="shared" si="106"/>
        <v>N</v>
      </c>
      <c r="O95" s="890"/>
      <c r="P95" s="890" t="str">
        <f t="shared" si="107"/>
        <v>N</v>
      </c>
      <c r="Q95" s="890" t="str">
        <f t="shared" si="107"/>
        <v>N</v>
      </c>
      <c r="R95" s="890" t="str">
        <f t="shared" si="108"/>
        <v>N</v>
      </c>
      <c r="S95" s="890" t="str">
        <f t="shared" si="109"/>
        <v>N</v>
      </c>
      <c r="T95" s="890" t="str">
        <f t="shared" si="110"/>
        <v>N</v>
      </c>
      <c r="U95" s="890" t="str">
        <f t="shared" si="111"/>
        <v>N</v>
      </c>
      <c r="V95" s="890" t="str">
        <f t="shared" si="112"/>
        <v>N</v>
      </c>
      <c r="W95" s="890" t="str">
        <f t="shared" si="113"/>
        <v>N</v>
      </c>
      <c r="X95" s="890" t="str">
        <f t="shared" si="114"/>
        <v>N</v>
      </c>
      <c r="Y95" s="890" t="str">
        <f t="shared" si="115"/>
        <v>N</v>
      </c>
      <c r="Z95" s="890" t="str">
        <f t="shared" si="116"/>
        <v>N</v>
      </c>
      <c r="AA95" s="890" t="str">
        <f t="shared" si="117"/>
        <v>N</v>
      </c>
      <c r="AB95" s="890" t="str">
        <f t="shared" si="118"/>
        <v>N</v>
      </c>
      <c r="AC95" s="890" t="str">
        <f t="shared" si="118"/>
        <v>N</v>
      </c>
      <c r="AD95" s="891"/>
      <c r="AE95" s="884"/>
      <c r="AF95" s="885"/>
      <c r="AG95" s="886"/>
      <c r="AH95" s="887"/>
      <c r="AI95" s="888"/>
    </row>
    <row r="96" spans="2:51" x14ac:dyDescent="0.3">
      <c r="B96" s="1151"/>
      <c r="C96" s="766" t="s">
        <v>413</v>
      </c>
      <c r="D96" s="889" t="s">
        <v>453</v>
      </c>
      <c r="E96" s="890" t="s">
        <v>453</v>
      </c>
      <c r="F96" s="890" t="s">
        <v>453</v>
      </c>
      <c r="G96" s="890" t="str">
        <f t="shared" si="104"/>
        <v>N</v>
      </c>
      <c r="H96" s="890"/>
      <c r="I96" s="890"/>
      <c r="J96" s="890"/>
      <c r="K96" s="890"/>
      <c r="L96" s="890" t="str">
        <f t="shared" si="105"/>
        <v>N</v>
      </c>
      <c r="M96" s="890" t="str">
        <f t="shared" si="105"/>
        <v>N</v>
      </c>
      <c r="N96" s="890" t="str">
        <f t="shared" si="106"/>
        <v>N</v>
      </c>
      <c r="O96" s="890"/>
      <c r="P96" s="890" t="str">
        <f t="shared" si="107"/>
        <v>N</v>
      </c>
      <c r="Q96" s="890" t="str">
        <f t="shared" si="107"/>
        <v>N</v>
      </c>
      <c r="R96" s="890" t="str">
        <f t="shared" si="108"/>
        <v>N</v>
      </c>
      <c r="S96" s="890" t="str">
        <f t="shared" si="109"/>
        <v>N</v>
      </c>
      <c r="T96" s="890" t="str">
        <f t="shared" si="110"/>
        <v>N</v>
      </c>
      <c r="U96" s="890" t="str">
        <f t="shared" si="111"/>
        <v>N</v>
      </c>
      <c r="V96" s="890" t="str">
        <f t="shared" si="112"/>
        <v>N</v>
      </c>
      <c r="W96" s="890" t="str">
        <f t="shared" si="113"/>
        <v>N</v>
      </c>
      <c r="X96" s="890" t="str">
        <f t="shared" si="114"/>
        <v>N</v>
      </c>
      <c r="Y96" s="890" t="str">
        <f t="shared" si="115"/>
        <v>N</v>
      </c>
      <c r="Z96" s="890" t="str">
        <f t="shared" si="116"/>
        <v>N</v>
      </c>
      <c r="AA96" s="890" t="str">
        <f t="shared" si="117"/>
        <v>N</v>
      </c>
      <c r="AB96" s="890" t="str">
        <f t="shared" si="118"/>
        <v>N</v>
      </c>
      <c r="AC96" s="890" t="str">
        <f t="shared" si="118"/>
        <v>N</v>
      </c>
      <c r="AD96" s="891"/>
      <c r="AE96" s="884"/>
      <c r="AF96" s="885"/>
      <c r="AG96" s="886"/>
      <c r="AH96" s="887"/>
      <c r="AI96" s="888"/>
    </row>
    <row r="97" spans="2:51" x14ac:dyDescent="0.3">
      <c r="B97" s="1151"/>
      <c r="C97" s="766" t="s">
        <v>415</v>
      </c>
      <c r="D97" s="892" t="s">
        <v>453</v>
      </c>
      <c r="E97" s="890" t="s">
        <v>453</v>
      </c>
      <c r="F97" s="890" t="s">
        <v>453</v>
      </c>
      <c r="G97" s="890" t="str">
        <f t="shared" si="104"/>
        <v>N</v>
      </c>
      <c r="H97" s="890"/>
      <c r="I97" s="890"/>
      <c r="J97" s="890"/>
      <c r="K97" s="890"/>
      <c r="L97" s="890" t="str">
        <f t="shared" si="105"/>
        <v>N</v>
      </c>
      <c r="M97" s="890" t="str">
        <f t="shared" si="105"/>
        <v>N</v>
      </c>
      <c r="N97" s="890" t="str">
        <f t="shared" si="106"/>
        <v>N</v>
      </c>
      <c r="O97" s="890"/>
      <c r="P97" s="890" t="str">
        <f t="shared" si="107"/>
        <v>N</v>
      </c>
      <c r="Q97" s="890" t="str">
        <f t="shared" si="107"/>
        <v>N</v>
      </c>
      <c r="R97" s="890" t="str">
        <f t="shared" si="108"/>
        <v>N</v>
      </c>
      <c r="S97" s="890" t="str">
        <f t="shared" si="109"/>
        <v>N</v>
      </c>
      <c r="T97" s="890" t="str">
        <f t="shared" si="110"/>
        <v>N</v>
      </c>
      <c r="U97" s="890" t="str">
        <f t="shared" si="111"/>
        <v>N</v>
      </c>
      <c r="V97" s="890" t="str">
        <f t="shared" si="112"/>
        <v>N</v>
      </c>
      <c r="W97" s="890" t="str">
        <f t="shared" si="113"/>
        <v>N</v>
      </c>
      <c r="X97" s="890" t="str">
        <f t="shared" si="114"/>
        <v>N</v>
      </c>
      <c r="Y97" s="890" t="str">
        <f t="shared" si="115"/>
        <v>N</v>
      </c>
      <c r="Z97" s="890" t="str">
        <f t="shared" si="116"/>
        <v>N</v>
      </c>
      <c r="AA97" s="890" t="str">
        <f t="shared" si="117"/>
        <v>N</v>
      </c>
      <c r="AB97" s="890" t="str">
        <f t="shared" si="118"/>
        <v>N</v>
      </c>
      <c r="AC97" s="890" t="str">
        <f t="shared" si="118"/>
        <v>N</v>
      </c>
      <c r="AD97" s="891"/>
      <c r="AE97" s="884"/>
      <c r="AF97" s="885"/>
      <c r="AG97" s="886"/>
      <c r="AH97" s="887"/>
      <c r="AI97" s="888"/>
    </row>
    <row r="98" spans="2:51" x14ac:dyDescent="0.3">
      <c r="B98" s="1151"/>
      <c r="C98" s="766" t="s">
        <v>417</v>
      </c>
      <c r="D98" s="892" t="s">
        <v>453</v>
      </c>
      <c r="E98" s="890" t="s">
        <v>453</v>
      </c>
      <c r="F98" s="890" t="s">
        <v>453</v>
      </c>
      <c r="G98" s="890" t="str">
        <f t="shared" si="104"/>
        <v>A</v>
      </c>
      <c r="H98" s="890"/>
      <c r="I98" s="890"/>
      <c r="J98" s="890"/>
      <c r="K98" s="890"/>
      <c r="L98" s="890" t="str">
        <f t="shared" si="105"/>
        <v>A</v>
      </c>
      <c r="M98" s="890" t="str">
        <f t="shared" si="105"/>
        <v>A</v>
      </c>
      <c r="N98" s="890" t="str">
        <f t="shared" si="106"/>
        <v>A</v>
      </c>
      <c r="O98" s="890"/>
      <c r="P98" s="890" t="str">
        <f t="shared" si="107"/>
        <v>N</v>
      </c>
      <c r="Q98" s="890" t="str">
        <f t="shared" si="107"/>
        <v>A</v>
      </c>
      <c r="R98" s="890" t="str">
        <f t="shared" si="108"/>
        <v>A</v>
      </c>
      <c r="S98" s="890" t="str">
        <f t="shared" si="109"/>
        <v>A</v>
      </c>
      <c r="T98" s="890" t="str">
        <f t="shared" si="110"/>
        <v>A</v>
      </c>
      <c r="U98" s="890" t="str">
        <f t="shared" si="111"/>
        <v>A</v>
      </c>
      <c r="V98" s="890" t="str">
        <f t="shared" si="112"/>
        <v>A</v>
      </c>
      <c r="W98" s="890" t="str">
        <f t="shared" si="113"/>
        <v>A</v>
      </c>
      <c r="X98" s="890" t="str">
        <f t="shared" si="114"/>
        <v>A</v>
      </c>
      <c r="Y98" s="890" t="str">
        <f t="shared" si="115"/>
        <v>A</v>
      </c>
      <c r="Z98" s="890" t="str">
        <f t="shared" si="116"/>
        <v>A</v>
      </c>
      <c r="AA98" s="890" t="str">
        <f t="shared" si="117"/>
        <v>A</v>
      </c>
      <c r="AB98" s="890" t="str">
        <f t="shared" si="118"/>
        <v>A</v>
      </c>
      <c r="AC98" s="890" t="str">
        <f t="shared" si="118"/>
        <v>A</v>
      </c>
      <c r="AD98" s="891"/>
      <c r="AE98" s="884"/>
      <c r="AF98" s="885"/>
      <c r="AG98" s="886"/>
      <c r="AH98" s="887"/>
      <c r="AI98" s="888"/>
    </row>
    <row r="99" spans="2:51" x14ac:dyDescent="0.3">
      <c r="B99" s="1151"/>
      <c r="C99" s="766" t="s">
        <v>419</v>
      </c>
      <c r="D99" s="892" t="s">
        <v>453</v>
      </c>
      <c r="E99" s="890" t="s">
        <v>453</v>
      </c>
      <c r="F99" s="890" t="s">
        <v>453</v>
      </c>
      <c r="G99" s="890" t="str">
        <f t="shared" si="104"/>
        <v>A</v>
      </c>
      <c r="H99" s="890"/>
      <c r="I99" s="890"/>
      <c r="J99" s="890"/>
      <c r="K99" s="890"/>
      <c r="L99" s="890" t="str">
        <f t="shared" si="105"/>
        <v>A</v>
      </c>
      <c r="M99" s="890" t="str">
        <f t="shared" si="105"/>
        <v>A</v>
      </c>
      <c r="N99" s="890" t="str">
        <f t="shared" si="106"/>
        <v>A</v>
      </c>
      <c r="O99" s="890"/>
      <c r="P99" s="890" t="str">
        <f t="shared" si="107"/>
        <v>N</v>
      </c>
      <c r="Q99" s="890" t="str">
        <f t="shared" si="107"/>
        <v>A</v>
      </c>
      <c r="R99" s="890" t="str">
        <f t="shared" si="108"/>
        <v>A</v>
      </c>
      <c r="S99" s="890" t="str">
        <f t="shared" si="109"/>
        <v>A</v>
      </c>
      <c r="T99" s="890" t="str">
        <f t="shared" si="110"/>
        <v>A</v>
      </c>
      <c r="U99" s="890" t="str">
        <f t="shared" si="111"/>
        <v>A</v>
      </c>
      <c r="V99" s="890" t="str">
        <f t="shared" si="112"/>
        <v>A</v>
      </c>
      <c r="W99" s="890" t="str">
        <f t="shared" si="113"/>
        <v>A</v>
      </c>
      <c r="X99" s="890" t="str">
        <f t="shared" si="114"/>
        <v>A</v>
      </c>
      <c r="Y99" s="890" t="str">
        <f t="shared" si="115"/>
        <v>A</v>
      </c>
      <c r="Z99" s="890" t="str">
        <f t="shared" si="116"/>
        <v>A</v>
      </c>
      <c r="AA99" s="890" t="str">
        <f t="shared" si="117"/>
        <v>A</v>
      </c>
      <c r="AB99" s="890" t="str">
        <f t="shared" si="118"/>
        <v>A</v>
      </c>
      <c r="AC99" s="890" t="str">
        <f t="shared" si="118"/>
        <v>A</v>
      </c>
      <c r="AD99" s="891"/>
      <c r="AE99" s="884"/>
      <c r="AF99" s="885"/>
      <c r="AG99" s="886"/>
      <c r="AH99" s="887"/>
      <c r="AI99" s="888"/>
    </row>
    <row r="100" spans="2:51" x14ac:dyDescent="0.3">
      <c r="B100" s="1151"/>
      <c r="C100" s="766" t="s">
        <v>421</v>
      </c>
      <c r="D100" s="892" t="s">
        <v>453</v>
      </c>
      <c r="E100" s="890" t="s">
        <v>453</v>
      </c>
      <c r="F100" s="890" t="s">
        <v>453</v>
      </c>
      <c r="G100" s="890" t="str">
        <f t="shared" si="104"/>
        <v>A</v>
      </c>
      <c r="H100" s="890"/>
      <c r="I100" s="890"/>
      <c r="J100" s="890"/>
      <c r="K100" s="890"/>
      <c r="L100" s="890" t="str">
        <f t="shared" si="105"/>
        <v>N</v>
      </c>
      <c r="M100" s="890" t="str">
        <f t="shared" si="105"/>
        <v>A</v>
      </c>
      <c r="N100" s="890" t="str">
        <f t="shared" si="106"/>
        <v>A</v>
      </c>
      <c r="O100" s="890"/>
      <c r="P100" s="890" t="str">
        <f t="shared" si="107"/>
        <v>N</v>
      </c>
      <c r="Q100" s="890" t="str">
        <f t="shared" si="107"/>
        <v>A</v>
      </c>
      <c r="R100" s="890" t="str">
        <f t="shared" si="108"/>
        <v>N</v>
      </c>
      <c r="S100" s="890" t="str">
        <f t="shared" si="109"/>
        <v>N</v>
      </c>
      <c r="T100" s="890" t="str">
        <f t="shared" si="110"/>
        <v>N</v>
      </c>
      <c r="U100" s="890" t="str">
        <f t="shared" si="111"/>
        <v>A</v>
      </c>
      <c r="V100" s="890" t="str">
        <f t="shared" si="112"/>
        <v>A</v>
      </c>
      <c r="W100" s="890" t="str">
        <f t="shared" si="113"/>
        <v>A</v>
      </c>
      <c r="X100" s="890" t="str">
        <f t="shared" si="114"/>
        <v>A</v>
      </c>
      <c r="Y100" s="890" t="str">
        <f t="shared" si="115"/>
        <v>N</v>
      </c>
      <c r="Z100" s="890" t="str">
        <f t="shared" si="116"/>
        <v>N</v>
      </c>
      <c r="AA100" s="890" t="str">
        <f t="shared" si="117"/>
        <v>A</v>
      </c>
      <c r="AB100" s="890" t="str">
        <f t="shared" si="118"/>
        <v>N</v>
      </c>
      <c r="AC100" s="890" t="str">
        <f t="shared" si="118"/>
        <v>N</v>
      </c>
      <c r="AD100" s="891"/>
      <c r="AE100" s="884"/>
      <c r="AF100" s="885"/>
      <c r="AG100" s="886"/>
      <c r="AH100" s="887"/>
      <c r="AI100" s="888"/>
    </row>
    <row r="101" spans="2:51" x14ac:dyDescent="0.3">
      <c r="B101" s="1151"/>
      <c r="C101" s="766" t="s">
        <v>423</v>
      </c>
      <c r="D101" s="892" t="s">
        <v>453</v>
      </c>
      <c r="E101" s="890" t="s">
        <v>453</v>
      </c>
      <c r="F101" s="890" t="s">
        <v>453</v>
      </c>
      <c r="G101" s="890" t="str">
        <f t="shared" si="104"/>
        <v>A</v>
      </c>
      <c r="H101" s="890"/>
      <c r="I101" s="890"/>
      <c r="J101" s="890"/>
      <c r="K101" s="890"/>
      <c r="L101" s="890" t="str">
        <f t="shared" si="105"/>
        <v>N</v>
      </c>
      <c r="M101" s="890" t="str">
        <f t="shared" si="105"/>
        <v>A</v>
      </c>
      <c r="N101" s="890" t="str">
        <f t="shared" si="106"/>
        <v>A</v>
      </c>
      <c r="O101" s="890"/>
      <c r="P101" s="890" t="str">
        <f t="shared" si="107"/>
        <v>N</v>
      </c>
      <c r="Q101" s="890" t="str">
        <f t="shared" si="107"/>
        <v>A</v>
      </c>
      <c r="R101" s="890" t="str">
        <f t="shared" si="108"/>
        <v>N</v>
      </c>
      <c r="S101" s="890" t="str">
        <f t="shared" si="109"/>
        <v>N</v>
      </c>
      <c r="T101" s="890" t="str">
        <f t="shared" si="110"/>
        <v>N</v>
      </c>
      <c r="U101" s="890" t="str">
        <f t="shared" si="111"/>
        <v>A</v>
      </c>
      <c r="V101" s="890" t="str">
        <f t="shared" si="112"/>
        <v>A</v>
      </c>
      <c r="W101" s="890" t="str">
        <f t="shared" si="113"/>
        <v>A</v>
      </c>
      <c r="X101" s="890" t="str">
        <f t="shared" si="114"/>
        <v>A</v>
      </c>
      <c r="Y101" s="890" t="str">
        <f t="shared" si="115"/>
        <v>N</v>
      </c>
      <c r="Z101" s="890" t="str">
        <f t="shared" si="116"/>
        <v>N</v>
      </c>
      <c r="AA101" s="890" t="str">
        <f t="shared" si="117"/>
        <v>A</v>
      </c>
      <c r="AB101" s="890" t="str">
        <f t="shared" si="118"/>
        <v>N</v>
      </c>
      <c r="AC101" s="890" t="str">
        <f t="shared" si="118"/>
        <v>N</v>
      </c>
      <c r="AD101" s="891"/>
      <c r="AE101" s="884"/>
      <c r="AF101" s="885"/>
      <c r="AG101" s="886"/>
      <c r="AH101" s="887"/>
      <c r="AI101" s="888"/>
    </row>
    <row r="102" spans="2:51" x14ac:dyDescent="0.3">
      <c r="B102" s="1151"/>
      <c r="C102" s="766" t="s">
        <v>425</v>
      </c>
      <c r="D102" s="892" t="s">
        <v>453</v>
      </c>
      <c r="E102" s="890" t="s">
        <v>453</v>
      </c>
      <c r="F102" s="890" t="s">
        <v>453</v>
      </c>
      <c r="G102" s="890" t="str">
        <f t="shared" si="104"/>
        <v>N</v>
      </c>
      <c r="H102" s="890"/>
      <c r="I102" s="890"/>
      <c r="J102" s="890"/>
      <c r="K102" s="890"/>
      <c r="L102" s="890" t="str">
        <f t="shared" si="105"/>
        <v>N</v>
      </c>
      <c r="M102" s="890" t="str">
        <f t="shared" si="105"/>
        <v>N</v>
      </c>
      <c r="N102" s="890" t="str">
        <f t="shared" si="106"/>
        <v>N</v>
      </c>
      <c r="O102" s="890"/>
      <c r="P102" s="890" t="str">
        <f t="shared" si="107"/>
        <v>N</v>
      </c>
      <c r="Q102" s="890" t="str">
        <f t="shared" si="107"/>
        <v>N</v>
      </c>
      <c r="R102" s="890" t="str">
        <f t="shared" si="108"/>
        <v>N</v>
      </c>
      <c r="S102" s="890" t="str">
        <f t="shared" si="109"/>
        <v>N</v>
      </c>
      <c r="T102" s="890" t="str">
        <f t="shared" si="110"/>
        <v>N</v>
      </c>
      <c r="U102" s="890" t="str">
        <f t="shared" si="111"/>
        <v>N</v>
      </c>
      <c r="V102" s="890" t="str">
        <f t="shared" si="112"/>
        <v>A</v>
      </c>
      <c r="W102" s="890" t="str">
        <f t="shared" si="113"/>
        <v>N</v>
      </c>
      <c r="X102" s="890" t="str">
        <f t="shared" si="114"/>
        <v>N</v>
      </c>
      <c r="Y102" s="890" t="str">
        <f t="shared" si="115"/>
        <v>N</v>
      </c>
      <c r="Z102" s="890" t="str">
        <f t="shared" si="116"/>
        <v>N</v>
      </c>
      <c r="AA102" s="890" t="str">
        <f t="shared" si="117"/>
        <v>A</v>
      </c>
      <c r="AB102" s="890" t="str">
        <f t="shared" si="118"/>
        <v>N</v>
      </c>
      <c r="AC102" s="890" t="str">
        <f t="shared" si="118"/>
        <v>N</v>
      </c>
      <c r="AD102" s="891"/>
      <c r="AE102" s="884"/>
      <c r="AF102" s="885"/>
      <c r="AG102" s="886"/>
      <c r="AH102" s="887"/>
      <c r="AI102" s="888"/>
      <c r="AK102" s="252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</row>
    <row r="103" spans="2:51" x14ac:dyDescent="0.3">
      <c r="B103" s="1151"/>
      <c r="C103" s="766" t="s">
        <v>427</v>
      </c>
      <c r="D103" s="892" t="s">
        <v>453</v>
      </c>
      <c r="E103" s="890" t="s">
        <v>453</v>
      </c>
      <c r="F103" s="890" t="s">
        <v>453</v>
      </c>
      <c r="G103" s="890" t="str">
        <f t="shared" si="104"/>
        <v>A</v>
      </c>
      <c r="H103" s="890"/>
      <c r="I103" s="890"/>
      <c r="J103" s="890"/>
      <c r="K103" s="890"/>
      <c r="L103" s="890" t="str">
        <f t="shared" si="105"/>
        <v>A</v>
      </c>
      <c r="M103" s="890" t="str">
        <f t="shared" si="105"/>
        <v>A</v>
      </c>
      <c r="N103" s="890" t="str">
        <f t="shared" si="106"/>
        <v>A</v>
      </c>
      <c r="O103" s="890"/>
      <c r="P103" s="890" t="str">
        <f t="shared" si="107"/>
        <v>N</v>
      </c>
      <c r="Q103" s="890" t="str">
        <f t="shared" si="107"/>
        <v>A</v>
      </c>
      <c r="R103" s="890" t="str">
        <f t="shared" si="108"/>
        <v>A</v>
      </c>
      <c r="S103" s="890" t="str">
        <f t="shared" si="109"/>
        <v>A</v>
      </c>
      <c r="T103" s="890" t="str">
        <f t="shared" si="110"/>
        <v>A</v>
      </c>
      <c r="U103" s="890" t="str">
        <f t="shared" si="111"/>
        <v>A</v>
      </c>
      <c r="V103" s="890" t="str">
        <f t="shared" si="112"/>
        <v>A</v>
      </c>
      <c r="W103" s="890" t="str">
        <f t="shared" si="113"/>
        <v>A</v>
      </c>
      <c r="X103" s="890" t="str">
        <f t="shared" si="114"/>
        <v>A</v>
      </c>
      <c r="Y103" s="890" t="str">
        <f t="shared" si="115"/>
        <v>A</v>
      </c>
      <c r="Z103" s="890" t="str">
        <f t="shared" si="116"/>
        <v>A</v>
      </c>
      <c r="AA103" s="890" t="str">
        <f t="shared" si="117"/>
        <v>A</v>
      </c>
      <c r="AB103" s="890" t="str">
        <f t="shared" si="118"/>
        <v>A</v>
      </c>
      <c r="AC103" s="890" t="str">
        <f t="shared" si="118"/>
        <v>A</v>
      </c>
      <c r="AD103" s="891"/>
      <c r="AE103" s="884"/>
      <c r="AF103" s="885"/>
      <c r="AG103" s="886"/>
      <c r="AH103" s="887"/>
      <c r="AI103" s="888"/>
      <c r="AK103" s="252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</row>
    <row r="104" spans="2:51" x14ac:dyDescent="0.3">
      <c r="B104" s="1151"/>
      <c r="C104" s="766" t="s">
        <v>429</v>
      </c>
      <c r="D104" s="892" t="s">
        <v>453</v>
      </c>
      <c r="E104" s="890" t="s">
        <v>453</v>
      </c>
      <c r="F104" s="890" t="s">
        <v>453</v>
      </c>
      <c r="G104" s="890" t="str">
        <f t="shared" si="104"/>
        <v>N</v>
      </c>
      <c r="H104" s="890"/>
      <c r="I104" s="890"/>
      <c r="J104" s="890"/>
      <c r="K104" s="890"/>
      <c r="L104" s="890" t="str">
        <f t="shared" si="105"/>
        <v>N</v>
      </c>
      <c r="M104" s="890" t="str">
        <f t="shared" si="105"/>
        <v>N</v>
      </c>
      <c r="N104" s="890" t="str">
        <f t="shared" si="106"/>
        <v>N</v>
      </c>
      <c r="O104" s="890"/>
      <c r="P104" s="890" t="str">
        <f t="shared" si="107"/>
        <v>N</v>
      </c>
      <c r="Q104" s="890" t="str">
        <f t="shared" si="107"/>
        <v>N</v>
      </c>
      <c r="R104" s="890" t="str">
        <f t="shared" si="108"/>
        <v>N</v>
      </c>
      <c r="S104" s="890" t="str">
        <f t="shared" si="109"/>
        <v>N</v>
      </c>
      <c r="T104" s="890" t="str">
        <f t="shared" si="110"/>
        <v>N</v>
      </c>
      <c r="U104" s="890" t="str">
        <f t="shared" si="111"/>
        <v>N</v>
      </c>
      <c r="V104" s="890" t="str">
        <f t="shared" si="112"/>
        <v>N</v>
      </c>
      <c r="W104" s="890" t="str">
        <f t="shared" si="113"/>
        <v>N</v>
      </c>
      <c r="X104" s="890" t="str">
        <f t="shared" si="114"/>
        <v>N</v>
      </c>
      <c r="Y104" s="890" t="str">
        <f t="shared" si="115"/>
        <v>N</v>
      </c>
      <c r="Z104" s="890" t="str">
        <f t="shared" si="116"/>
        <v>N</v>
      </c>
      <c r="AA104" s="890" t="str">
        <f t="shared" si="117"/>
        <v>N</v>
      </c>
      <c r="AB104" s="890" t="str">
        <f t="shared" si="118"/>
        <v>N</v>
      </c>
      <c r="AC104" s="890" t="str">
        <f t="shared" si="118"/>
        <v>N</v>
      </c>
      <c r="AD104" s="891"/>
      <c r="AE104" s="884"/>
      <c r="AF104" s="885"/>
      <c r="AG104" s="886"/>
      <c r="AH104" s="887"/>
      <c r="AI104" s="888"/>
      <c r="AK104" s="252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</row>
    <row r="105" spans="2:51" x14ac:dyDescent="0.3">
      <c r="B105" s="1151"/>
      <c r="C105" s="770" t="s">
        <v>431</v>
      </c>
      <c r="D105" s="892" t="s">
        <v>453</v>
      </c>
      <c r="E105" s="890" t="s">
        <v>453</v>
      </c>
      <c r="F105" s="890" t="s">
        <v>453</v>
      </c>
      <c r="G105" s="890" t="str">
        <f t="shared" si="104"/>
        <v>N</v>
      </c>
      <c r="H105" s="890"/>
      <c r="I105" s="890"/>
      <c r="J105" s="890"/>
      <c r="K105" s="890"/>
      <c r="L105" s="890" t="str">
        <f t="shared" si="105"/>
        <v>A</v>
      </c>
      <c r="M105" s="890" t="str">
        <f t="shared" si="105"/>
        <v>N</v>
      </c>
      <c r="N105" s="890" t="str">
        <f t="shared" si="106"/>
        <v>N</v>
      </c>
      <c r="O105" s="890"/>
      <c r="P105" s="890" t="str">
        <f t="shared" si="107"/>
        <v>N</v>
      </c>
      <c r="Q105" s="890" t="str">
        <f t="shared" si="107"/>
        <v>N</v>
      </c>
      <c r="R105" s="890" t="str">
        <f t="shared" si="108"/>
        <v>A</v>
      </c>
      <c r="S105" s="890" t="str">
        <f t="shared" si="109"/>
        <v>A</v>
      </c>
      <c r="T105" s="890" t="str">
        <f t="shared" si="110"/>
        <v>A</v>
      </c>
      <c r="U105" s="890" t="str">
        <f t="shared" si="111"/>
        <v>N</v>
      </c>
      <c r="V105" s="890" t="str">
        <f t="shared" si="112"/>
        <v>A</v>
      </c>
      <c r="W105" s="890" t="str">
        <f t="shared" si="113"/>
        <v>N</v>
      </c>
      <c r="X105" s="890" t="str">
        <f t="shared" si="114"/>
        <v>N</v>
      </c>
      <c r="Y105" s="890" t="str">
        <f t="shared" si="115"/>
        <v>A</v>
      </c>
      <c r="Z105" s="890" t="str">
        <f t="shared" si="116"/>
        <v>A</v>
      </c>
      <c r="AA105" s="890" t="str">
        <f t="shared" si="117"/>
        <v>A</v>
      </c>
      <c r="AB105" s="890" t="str">
        <f t="shared" si="118"/>
        <v>A</v>
      </c>
      <c r="AC105" s="890" t="str">
        <f t="shared" si="118"/>
        <v>A</v>
      </c>
      <c r="AD105" s="891"/>
      <c r="AE105" s="884"/>
      <c r="AF105" s="885"/>
      <c r="AG105" s="886"/>
      <c r="AH105" s="887"/>
      <c r="AI105" s="888"/>
      <c r="AK105" s="252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</row>
    <row r="106" spans="2:51" x14ac:dyDescent="0.3">
      <c r="B106" s="893"/>
      <c r="C106" s="894" t="s">
        <v>461</v>
      </c>
      <c r="D106" s="895">
        <v>0</v>
      </c>
      <c r="E106" s="896">
        <v>0</v>
      </c>
      <c r="F106" s="897">
        <v>0</v>
      </c>
      <c r="G106" s="897">
        <f t="shared" si="104"/>
        <v>0.25</v>
      </c>
      <c r="H106" s="897"/>
      <c r="I106" s="897"/>
      <c r="J106" s="897"/>
      <c r="K106" s="897"/>
      <c r="L106" s="897">
        <f t="shared" si="105"/>
        <v>0.2</v>
      </c>
      <c r="M106" s="897">
        <f t="shared" si="105"/>
        <v>0.25</v>
      </c>
      <c r="N106" s="897">
        <f t="shared" si="106"/>
        <v>0.25</v>
      </c>
      <c r="O106" s="897"/>
      <c r="P106" s="897">
        <f t="shared" si="107"/>
        <v>0</v>
      </c>
      <c r="Q106" s="897">
        <f t="shared" si="107"/>
        <v>0.25</v>
      </c>
      <c r="R106" s="897">
        <f t="shared" si="108"/>
        <v>0.2</v>
      </c>
      <c r="S106" s="897">
        <f t="shared" si="109"/>
        <v>0.2</v>
      </c>
      <c r="T106" s="897">
        <f t="shared" si="110"/>
        <v>0.2</v>
      </c>
      <c r="U106" s="897">
        <f t="shared" si="111"/>
        <v>0.25</v>
      </c>
      <c r="V106" s="897">
        <f t="shared" si="112"/>
        <v>0.35</v>
      </c>
      <c r="W106" s="897">
        <f t="shared" ref="W106" si="119">W20</f>
        <v>0.25</v>
      </c>
      <c r="X106" s="897">
        <f t="shared" si="114"/>
        <v>0.25</v>
      </c>
      <c r="Y106" s="897">
        <f t="shared" si="115"/>
        <v>0.2</v>
      </c>
      <c r="Z106" s="897">
        <f t="shared" si="116"/>
        <v>0.2</v>
      </c>
      <c r="AA106" s="897">
        <f t="shared" si="117"/>
        <v>0.35</v>
      </c>
      <c r="AB106" s="897">
        <f t="shared" si="118"/>
        <v>0.2</v>
      </c>
      <c r="AC106" s="897">
        <f t="shared" si="118"/>
        <v>0.2</v>
      </c>
      <c r="AD106" s="898"/>
      <c r="AE106" s="899"/>
      <c r="AF106" s="900"/>
      <c r="AG106" s="901"/>
      <c r="AH106" s="901"/>
      <c r="AI106" s="902"/>
      <c r="AK106" s="252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</row>
    <row r="107" spans="2:51" ht="54.6" customHeight="1" x14ac:dyDescent="0.3">
      <c r="B107" s="256" t="str">
        <f>'Procesy - AS IS'!B29</f>
        <v>Meranie č. 8</v>
      </c>
      <c r="C107" s="749" t="str">
        <f>'Procesy - AS IS'!$C$29</f>
        <v>3U, s.r.o. Bratislava - výrobca regulovaných výrobkov, Kontrola kvality regulovaných výrobkov, 6765-25699/33/2018/Tom</v>
      </c>
      <c r="D107" s="872">
        <f>-'Procesy - AS IS'!D31*D120</f>
        <v>0</v>
      </c>
      <c r="E107" s="752">
        <f>-'Procesy - AS IS'!E31*E120</f>
        <v>0</v>
      </c>
      <c r="F107" s="752">
        <f>-'Procesy - AS IS'!F31*F120</f>
        <v>0</v>
      </c>
      <c r="G107" s="752">
        <f>-'Procesy - AS IS'!G31*G120</f>
        <v>-0.75</v>
      </c>
      <c r="H107" s="752" t="s">
        <v>523</v>
      </c>
      <c r="I107" s="752" t="s">
        <v>523</v>
      </c>
      <c r="J107" s="752" t="s">
        <v>523</v>
      </c>
      <c r="K107" s="752" t="s">
        <v>523</v>
      </c>
      <c r="L107" s="752">
        <f>-'Procesy - AS IS'!L31*L120</f>
        <v>-0.05</v>
      </c>
      <c r="M107" s="752">
        <f>-'Procesy - AS IS'!M31*M120</f>
        <v>-0.75</v>
      </c>
      <c r="N107" s="752">
        <f>-'Procesy - AS IS'!N31*N120</f>
        <v>0</v>
      </c>
      <c r="O107" s="752" t="s">
        <v>524</v>
      </c>
      <c r="P107" s="752">
        <f>-'Procesy - AS IS'!P31*P120</f>
        <v>0</v>
      </c>
      <c r="Q107" s="752">
        <f>-'Procesy - AS IS'!Q31*Q120</f>
        <v>0</v>
      </c>
      <c r="R107" s="752">
        <f>-'Procesy - AS IS'!R31*R120</f>
        <v>0</v>
      </c>
      <c r="S107" s="752">
        <f>-'Procesy - AS IS'!S31*S120</f>
        <v>-1.6</v>
      </c>
      <c r="T107" s="752">
        <f>-'Procesy - AS IS'!T31*T120</f>
        <v>0</v>
      </c>
      <c r="U107" s="752">
        <f>-'Procesy - AS IS'!U31*U120</f>
        <v>-2</v>
      </c>
      <c r="V107" s="752">
        <f>-'Procesy - AS IS'!V31*V120</f>
        <v>-0.35</v>
      </c>
      <c r="W107" s="752">
        <f>-'Procesy - AS IS'!W31*W120</f>
        <v>0</v>
      </c>
      <c r="X107" s="752">
        <f>-'Procesy - AS IS'!X31*X120</f>
        <v>0</v>
      </c>
      <c r="Y107" s="752">
        <f>-'Procesy - AS IS'!Y31*Y120</f>
        <v>0</v>
      </c>
      <c r="Z107" s="752">
        <f>-'Procesy - AS IS'!Z31*Z120</f>
        <v>0</v>
      </c>
      <c r="AA107" s="752">
        <f>-'Procesy - AS IS'!AA31*AA120</f>
        <v>0</v>
      </c>
      <c r="AB107" s="752">
        <f>-'Procesy - AS IS'!AB31*AB120</f>
        <v>0</v>
      </c>
      <c r="AC107" s="752">
        <f>-'Procesy - AS IS'!AC31*AC120</f>
        <v>0</v>
      </c>
      <c r="AD107" s="903">
        <f>SUM(D107:AC107)</f>
        <v>-5.5</v>
      </c>
      <c r="AE107" s="880">
        <f>AD107/'Procesy - AS IS'!AD31</f>
        <v>-0.22680412371134021</v>
      </c>
      <c r="AF107" s="881">
        <f>'Procesy - AS IS'!AG31/(1+$AE107)-'Procesy - AS IS'!AG31</f>
        <v>10.559999999999995</v>
      </c>
      <c r="AG107" s="882">
        <f>'Procesy - AS IS'!AH31/(1+$AE107)-'Procesy - AS IS'!AH31</f>
        <v>0</v>
      </c>
      <c r="AH107" s="877">
        <f>'Procesy - AS IS'!AI31/(1+$AE107)-'Procesy - AS IS'!AI31</f>
        <v>0</v>
      </c>
      <c r="AI107" s="878">
        <f>'Procesy - AS IS'!AJ31/(1+$AE107)-'Procesy - AS IS'!AJ31</f>
        <v>0</v>
      </c>
      <c r="AK107" s="252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</row>
    <row r="108" spans="2:51" x14ac:dyDescent="0.3">
      <c r="B108" s="1150" t="s">
        <v>451</v>
      </c>
      <c r="C108" s="766" t="s">
        <v>409</v>
      </c>
      <c r="D108" s="771" t="s">
        <v>453</v>
      </c>
      <c r="E108" s="772" t="s">
        <v>453</v>
      </c>
      <c r="F108" s="890" t="s">
        <v>453</v>
      </c>
      <c r="G108" s="890" t="str">
        <f t="shared" ref="G108:G120" si="120">G66</f>
        <v>A</v>
      </c>
      <c r="H108" s="890"/>
      <c r="I108" s="890"/>
      <c r="J108" s="890"/>
      <c r="K108" s="890"/>
      <c r="L108" s="890" t="str">
        <f t="shared" ref="L108:M120" si="121">L94</f>
        <v>A</v>
      </c>
      <c r="M108" s="890" t="str">
        <f t="shared" si="121"/>
        <v>A</v>
      </c>
      <c r="N108" s="890" t="s">
        <v>453</v>
      </c>
      <c r="O108" s="890"/>
      <c r="P108" s="890" t="str">
        <f t="shared" ref="P108:R120" si="122">P66</f>
        <v>N</v>
      </c>
      <c r="Q108" s="890" t="str">
        <f t="shared" si="122"/>
        <v>A</v>
      </c>
      <c r="R108" s="890" t="str">
        <f t="shared" si="122"/>
        <v>A</v>
      </c>
      <c r="S108" s="890" t="str">
        <f t="shared" ref="S108:S120" si="123">R108</f>
        <v>A</v>
      </c>
      <c r="T108" s="890" t="str">
        <f t="shared" ref="T108:T120" si="124">R108</f>
        <v>A</v>
      </c>
      <c r="U108" s="890" t="str">
        <f t="shared" ref="U108:U120" si="125">G94</f>
        <v>A</v>
      </c>
      <c r="V108" s="890" t="str">
        <f t="shared" ref="V108:V120" si="126">V66</f>
        <v>A</v>
      </c>
      <c r="W108" s="890" t="str">
        <f t="shared" ref="W108:W119" si="127">W7</f>
        <v>A</v>
      </c>
      <c r="X108" s="890" t="str">
        <f t="shared" ref="X108:X120" si="128">G108</f>
        <v>A</v>
      </c>
      <c r="Y108" s="890" t="str">
        <f t="shared" ref="Y108:Y120" si="129">R108</f>
        <v>A</v>
      </c>
      <c r="Z108" s="890" t="str">
        <f t="shared" ref="Z108:Z120" si="130">R108</f>
        <v>A</v>
      </c>
      <c r="AA108" s="890" t="str">
        <f t="shared" ref="AA108:AA120" si="131">$V108</f>
        <v>A</v>
      </c>
      <c r="AB108" s="890" t="str">
        <f t="shared" ref="AB108:AB120" si="132">G108</f>
        <v>A</v>
      </c>
      <c r="AC108" s="890" t="str">
        <f t="shared" ref="AC108:AC120" si="133">R108</f>
        <v>A</v>
      </c>
      <c r="AD108" s="891"/>
      <c r="AE108" s="884"/>
      <c r="AF108" s="885"/>
      <c r="AG108" s="886"/>
      <c r="AH108" s="887"/>
      <c r="AI108" s="888"/>
      <c r="AK108" s="252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</row>
    <row r="109" spans="2:51" x14ac:dyDescent="0.3">
      <c r="B109" s="1151"/>
      <c r="C109" s="766" t="s">
        <v>411</v>
      </c>
      <c r="D109" s="889" t="s">
        <v>453</v>
      </c>
      <c r="E109" s="890" t="s">
        <v>453</v>
      </c>
      <c r="F109" s="890" t="s">
        <v>453</v>
      </c>
      <c r="G109" s="890" t="str">
        <f t="shared" si="120"/>
        <v>N</v>
      </c>
      <c r="H109" s="890"/>
      <c r="I109" s="890"/>
      <c r="J109" s="890"/>
      <c r="K109" s="890"/>
      <c r="L109" s="890" t="str">
        <f t="shared" si="121"/>
        <v>N</v>
      </c>
      <c r="M109" s="890" t="str">
        <f t="shared" si="121"/>
        <v>N</v>
      </c>
      <c r="N109" s="890" t="s">
        <v>453</v>
      </c>
      <c r="O109" s="890"/>
      <c r="P109" s="890" t="str">
        <f t="shared" si="122"/>
        <v>N</v>
      </c>
      <c r="Q109" s="890" t="str">
        <f t="shared" si="122"/>
        <v>N</v>
      </c>
      <c r="R109" s="890" t="str">
        <f t="shared" si="122"/>
        <v>N</v>
      </c>
      <c r="S109" s="890" t="str">
        <f t="shared" si="123"/>
        <v>N</v>
      </c>
      <c r="T109" s="890" t="str">
        <f t="shared" si="124"/>
        <v>N</v>
      </c>
      <c r="U109" s="890" t="str">
        <f t="shared" si="125"/>
        <v>N</v>
      </c>
      <c r="V109" s="890" t="str">
        <f t="shared" si="126"/>
        <v>N</v>
      </c>
      <c r="W109" s="890" t="str">
        <f t="shared" si="127"/>
        <v>N</v>
      </c>
      <c r="X109" s="890" t="str">
        <f t="shared" si="128"/>
        <v>N</v>
      </c>
      <c r="Y109" s="890" t="str">
        <f t="shared" si="129"/>
        <v>N</v>
      </c>
      <c r="Z109" s="890" t="str">
        <f t="shared" si="130"/>
        <v>N</v>
      </c>
      <c r="AA109" s="890" t="str">
        <f t="shared" si="131"/>
        <v>N</v>
      </c>
      <c r="AB109" s="890" t="str">
        <f t="shared" si="132"/>
        <v>N</v>
      </c>
      <c r="AC109" s="890" t="str">
        <f t="shared" si="133"/>
        <v>N</v>
      </c>
      <c r="AD109" s="891"/>
      <c r="AE109" s="884"/>
      <c r="AF109" s="885"/>
      <c r="AG109" s="886"/>
      <c r="AH109" s="887"/>
      <c r="AI109" s="888"/>
      <c r="AK109" s="252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</row>
    <row r="110" spans="2:51" x14ac:dyDescent="0.3">
      <c r="B110" s="1151"/>
      <c r="C110" s="766" t="s">
        <v>413</v>
      </c>
      <c r="D110" s="889" t="s">
        <v>453</v>
      </c>
      <c r="E110" s="890" t="s">
        <v>453</v>
      </c>
      <c r="F110" s="890" t="s">
        <v>453</v>
      </c>
      <c r="G110" s="890" t="str">
        <f t="shared" si="120"/>
        <v>N</v>
      </c>
      <c r="H110" s="890"/>
      <c r="I110" s="890"/>
      <c r="J110" s="890"/>
      <c r="K110" s="890"/>
      <c r="L110" s="890" t="str">
        <f t="shared" si="121"/>
        <v>N</v>
      </c>
      <c r="M110" s="890" t="str">
        <f t="shared" si="121"/>
        <v>N</v>
      </c>
      <c r="N110" s="890" t="s">
        <v>453</v>
      </c>
      <c r="O110" s="890"/>
      <c r="P110" s="890" t="str">
        <f t="shared" si="122"/>
        <v>N</v>
      </c>
      <c r="Q110" s="890" t="str">
        <f t="shared" si="122"/>
        <v>N</v>
      </c>
      <c r="R110" s="890" t="str">
        <f t="shared" si="122"/>
        <v>N</v>
      </c>
      <c r="S110" s="890" t="str">
        <f t="shared" si="123"/>
        <v>N</v>
      </c>
      <c r="T110" s="890" t="str">
        <f t="shared" si="124"/>
        <v>N</v>
      </c>
      <c r="U110" s="890" t="str">
        <f t="shared" si="125"/>
        <v>N</v>
      </c>
      <c r="V110" s="890" t="str">
        <f t="shared" si="126"/>
        <v>N</v>
      </c>
      <c r="W110" s="890" t="str">
        <f t="shared" si="127"/>
        <v>N</v>
      </c>
      <c r="X110" s="890" t="str">
        <f t="shared" si="128"/>
        <v>N</v>
      </c>
      <c r="Y110" s="890" t="str">
        <f t="shared" si="129"/>
        <v>N</v>
      </c>
      <c r="Z110" s="890" t="str">
        <f t="shared" si="130"/>
        <v>N</v>
      </c>
      <c r="AA110" s="890" t="str">
        <f t="shared" si="131"/>
        <v>N</v>
      </c>
      <c r="AB110" s="890" t="str">
        <f t="shared" si="132"/>
        <v>N</v>
      </c>
      <c r="AC110" s="890" t="str">
        <f t="shared" si="133"/>
        <v>N</v>
      </c>
      <c r="AD110" s="891"/>
      <c r="AE110" s="884"/>
      <c r="AF110" s="885"/>
      <c r="AG110" s="886"/>
      <c r="AH110" s="887"/>
      <c r="AI110" s="888"/>
      <c r="AK110" s="252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</row>
    <row r="111" spans="2:51" x14ac:dyDescent="0.3">
      <c r="B111" s="1151"/>
      <c r="C111" s="766" t="s">
        <v>415</v>
      </c>
      <c r="D111" s="892" t="s">
        <v>453</v>
      </c>
      <c r="E111" s="890" t="s">
        <v>453</v>
      </c>
      <c r="F111" s="890" t="s">
        <v>453</v>
      </c>
      <c r="G111" s="890" t="str">
        <f t="shared" si="120"/>
        <v>N</v>
      </c>
      <c r="H111" s="890"/>
      <c r="I111" s="890"/>
      <c r="J111" s="890"/>
      <c r="K111" s="890"/>
      <c r="L111" s="890" t="str">
        <f t="shared" si="121"/>
        <v>N</v>
      </c>
      <c r="M111" s="890" t="str">
        <f t="shared" si="121"/>
        <v>N</v>
      </c>
      <c r="N111" s="890" t="s">
        <v>453</v>
      </c>
      <c r="O111" s="890"/>
      <c r="P111" s="890" t="str">
        <f t="shared" si="122"/>
        <v>N</v>
      </c>
      <c r="Q111" s="890" t="str">
        <f t="shared" si="122"/>
        <v>N</v>
      </c>
      <c r="R111" s="890" t="str">
        <f t="shared" si="122"/>
        <v>N</v>
      </c>
      <c r="S111" s="890" t="str">
        <f t="shared" si="123"/>
        <v>N</v>
      </c>
      <c r="T111" s="890" t="str">
        <f t="shared" si="124"/>
        <v>N</v>
      </c>
      <c r="U111" s="890" t="str">
        <f t="shared" si="125"/>
        <v>N</v>
      </c>
      <c r="V111" s="890" t="str">
        <f t="shared" si="126"/>
        <v>N</v>
      </c>
      <c r="W111" s="890" t="str">
        <f t="shared" si="127"/>
        <v>N</v>
      </c>
      <c r="X111" s="890" t="str">
        <f t="shared" si="128"/>
        <v>N</v>
      </c>
      <c r="Y111" s="890" t="str">
        <f t="shared" si="129"/>
        <v>N</v>
      </c>
      <c r="Z111" s="890" t="str">
        <f t="shared" si="130"/>
        <v>N</v>
      </c>
      <c r="AA111" s="890" t="str">
        <f t="shared" si="131"/>
        <v>N</v>
      </c>
      <c r="AB111" s="890" t="str">
        <f t="shared" si="132"/>
        <v>N</v>
      </c>
      <c r="AC111" s="890" t="str">
        <f t="shared" si="133"/>
        <v>N</v>
      </c>
      <c r="AD111" s="891"/>
      <c r="AE111" s="884"/>
      <c r="AF111" s="885"/>
      <c r="AG111" s="886"/>
      <c r="AH111" s="887"/>
      <c r="AI111" s="888"/>
      <c r="AK111" s="252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</row>
    <row r="112" spans="2:51" x14ac:dyDescent="0.3">
      <c r="B112" s="1151"/>
      <c r="C112" s="766" t="s">
        <v>417</v>
      </c>
      <c r="D112" s="892" t="s">
        <v>453</v>
      </c>
      <c r="E112" s="890" t="s">
        <v>453</v>
      </c>
      <c r="F112" s="890" t="s">
        <v>453</v>
      </c>
      <c r="G112" s="890" t="str">
        <f t="shared" si="120"/>
        <v>A</v>
      </c>
      <c r="H112" s="890"/>
      <c r="I112" s="890"/>
      <c r="J112" s="890"/>
      <c r="K112" s="890"/>
      <c r="L112" s="890" t="str">
        <f t="shared" si="121"/>
        <v>A</v>
      </c>
      <c r="M112" s="890" t="str">
        <f t="shared" si="121"/>
        <v>A</v>
      </c>
      <c r="N112" s="890" t="s">
        <v>453</v>
      </c>
      <c r="O112" s="890"/>
      <c r="P112" s="890" t="str">
        <f t="shared" si="122"/>
        <v>N</v>
      </c>
      <c r="Q112" s="890" t="str">
        <f t="shared" si="122"/>
        <v>A</v>
      </c>
      <c r="R112" s="890" t="str">
        <f t="shared" si="122"/>
        <v>A</v>
      </c>
      <c r="S112" s="890" t="str">
        <f t="shared" si="123"/>
        <v>A</v>
      </c>
      <c r="T112" s="890" t="str">
        <f t="shared" si="124"/>
        <v>A</v>
      </c>
      <c r="U112" s="890" t="str">
        <f t="shared" si="125"/>
        <v>A</v>
      </c>
      <c r="V112" s="890" t="str">
        <f t="shared" si="126"/>
        <v>A</v>
      </c>
      <c r="W112" s="890" t="str">
        <f t="shared" si="127"/>
        <v>A</v>
      </c>
      <c r="X112" s="890" t="str">
        <f t="shared" si="128"/>
        <v>A</v>
      </c>
      <c r="Y112" s="890" t="str">
        <f t="shared" si="129"/>
        <v>A</v>
      </c>
      <c r="Z112" s="890" t="str">
        <f t="shared" si="130"/>
        <v>A</v>
      </c>
      <c r="AA112" s="890" t="str">
        <f t="shared" si="131"/>
        <v>A</v>
      </c>
      <c r="AB112" s="890" t="str">
        <f t="shared" si="132"/>
        <v>A</v>
      </c>
      <c r="AC112" s="890" t="str">
        <f t="shared" si="133"/>
        <v>A</v>
      </c>
      <c r="AD112" s="891"/>
      <c r="AE112" s="884"/>
      <c r="AF112" s="885"/>
      <c r="AG112" s="886"/>
      <c r="AH112" s="887"/>
      <c r="AI112" s="888"/>
      <c r="AK112" s="252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</row>
    <row r="113" spans="2:51" x14ac:dyDescent="0.3">
      <c r="B113" s="1151"/>
      <c r="C113" s="766" t="s">
        <v>419</v>
      </c>
      <c r="D113" s="892" t="s">
        <v>453</v>
      </c>
      <c r="E113" s="890" t="s">
        <v>453</v>
      </c>
      <c r="F113" s="890" t="s">
        <v>453</v>
      </c>
      <c r="G113" s="890" t="str">
        <f t="shared" si="120"/>
        <v>A</v>
      </c>
      <c r="H113" s="890"/>
      <c r="I113" s="890"/>
      <c r="J113" s="890"/>
      <c r="K113" s="890"/>
      <c r="L113" s="890" t="str">
        <f t="shared" si="121"/>
        <v>A</v>
      </c>
      <c r="M113" s="890" t="str">
        <f t="shared" si="121"/>
        <v>A</v>
      </c>
      <c r="N113" s="890" t="s">
        <v>453</v>
      </c>
      <c r="O113" s="890"/>
      <c r="P113" s="890" t="str">
        <f t="shared" si="122"/>
        <v>N</v>
      </c>
      <c r="Q113" s="890" t="str">
        <f t="shared" si="122"/>
        <v>A</v>
      </c>
      <c r="R113" s="890" t="str">
        <f t="shared" si="122"/>
        <v>A</v>
      </c>
      <c r="S113" s="890" t="str">
        <f t="shared" si="123"/>
        <v>A</v>
      </c>
      <c r="T113" s="890" t="str">
        <f t="shared" si="124"/>
        <v>A</v>
      </c>
      <c r="U113" s="890" t="str">
        <f t="shared" si="125"/>
        <v>A</v>
      </c>
      <c r="V113" s="890" t="str">
        <f t="shared" si="126"/>
        <v>A</v>
      </c>
      <c r="W113" s="890" t="str">
        <f t="shared" si="127"/>
        <v>A</v>
      </c>
      <c r="X113" s="890" t="str">
        <f t="shared" si="128"/>
        <v>A</v>
      </c>
      <c r="Y113" s="890" t="str">
        <f t="shared" si="129"/>
        <v>A</v>
      </c>
      <c r="Z113" s="890" t="str">
        <f t="shared" si="130"/>
        <v>A</v>
      </c>
      <c r="AA113" s="890" t="str">
        <f t="shared" si="131"/>
        <v>A</v>
      </c>
      <c r="AB113" s="890" t="str">
        <f t="shared" si="132"/>
        <v>A</v>
      </c>
      <c r="AC113" s="890" t="str">
        <f t="shared" si="133"/>
        <v>A</v>
      </c>
      <c r="AD113" s="891"/>
      <c r="AE113" s="884"/>
      <c r="AF113" s="885"/>
      <c r="AG113" s="886"/>
      <c r="AH113" s="887"/>
      <c r="AI113" s="888"/>
      <c r="AK113" s="252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</row>
    <row r="114" spans="2:51" x14ac:dyDescent="0.3">
      <c r="B114" s="1151"/>
      <c r="C114" s="766" t="s">
        <v>421</v>
      </c>
      <c r="D114" s="892" t="s">
        <v>453</v>
      </c>
      <c r="E114" s="890" t="s">
        <v>453</v>
      </c>
      <c r="F114" s="890" t="s">
        <v>453</v>
      </c>
      <c r="G114" s="890" t="str">
        <f t="shared" si="120"/>
        <v>A</v>
      </c>
      <c r="H114" s="890"/>
      <c r="I114" s="890"/>
      <c r="J114" s="890"/>
      <c r="K114" s="890"/>
      <c r="L114" s="890" t="str">
        <f t="shared" si="121"/>
        <v>N</v>
      </c>
      <c r="M114" s="890" t="str">
        <f t="shared" si="121"/>
        <v>A</v>
      </c>
      <c r="N114" s="890" t="s">
        <v>453</v>
      </c>
      <c r="O114" s="890"/>
      <c r="P114" s="890" t="str">
        <f t="shared" si="122"/>
        <v>N</v>
      </c>
      <c r="Q114" s="890" t="str">
        <f t="shared" si="122"/>
        <v>A</v>
      </c>
      <c r="R114" s="890" t="str">
        <f t="shared" si="122"/>
        <v>N</v>
      </c>
      <c r="S114" s="890" t="str">
        <f t="shared" si="123"/>
        <v>N</v>
      </c>
      <c r="T114" s="890" t="str">
        <f t="shared" si="124"/>
        <v>N</v>
      </c>
      <c r="U114" s="890" t="str">
        <f t="shared" si="125"/>
        <v>A</v>
      </c>
      <c r="V114" s="890" t="str">
        <f t="shared" si="126"/>
        <v>A</v>
      </c>
      <c r="W114" s="890" t="str">
        <f t="shared" si="127"/>
        <v>A</v>
      </c>
      <c r="X114" s="890" t="str">
        <f t="shared" si="128"/>
        <v>A</v>
      </c>
      <c r="Y114" s="890" t="str">
        <f t="shared" si="129"/>
        <v>N</v>
      </c>
      <c r="Z114" s="890" t="str">
        <f t="shared" si="130"/>
        <v>N</v>
      </c>
      <c r="AA114" s="890" t="str">
        <f t="shared" si="131"/>
        <v>A</v>
      </c>
      <c r="AB114" s="890" t="str">
        <f t="shared" si="132"/>
        <v>A</v>
      </c>
      <c r="AC114" s="890" t="str">
        <f t="shared" si="133"/>
        <v>N</v>
      </c>
      <c r="AD114" s="891"/>
      <c r="AE114" s="884"/>
      <c r="AF114" s="885"/>
      <c r="AG114" s="886"/>
      <c r="AH114" s="887"/>
      <c r="AI114" s="888"/>
      <c r="AK114" s="252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</row>
    <row r="115" spans="2:51" x14ac:dyDescent="0.3">
      <c r="B115" s="1151"/>
      <c r="C115" s="766" t="s">
        <v>423</v>
      </c>
      <c r="D115" s="892" t="s">
        <v>453</v>
      </c>
      <c r="E115" s="890" t="s">
        <v>453</v>
      </c>
      <c r="F115" s="890" t="s">
        <v>453</v>
      </c>
      <c r="G115" s="890" t="str">
        <f t="shared" si="120"/>
        <v>A</v>
      </c>
      <c r="H115" s="890"/>
      <c r="I115" s="890"/>
      <c r="J115" s="890"/>
      <c r="K115" s="890"/>
      <c r="L115" s="890" t="str">
        <f t="shared" si="121"/>
        <v>N</v>
      </c>
      <c r="M115" s="890" t="str">
        <f t="shared" si="121"/>
        <v>A</v>
      </c>
      <c r="N115" s="890" t="s">
        <v>453</v>
      </c>
      <c r="O115" s="890"/>
      <c r="P115" s="890" t="str">
        <f t="shared" si="122"/>
        <v>N</v>
      </c>
      <c r="Q115" s="890" t="str">
        <f t="shared" si="122"/>
        <v>A</v>
      </c>
      <c r="R115" s="890" t="str">
        <f t="shared" si="122"/>
        <v>N</v>
      </c>
      <c r="S115" s="890" t="str">
        <f t="shared" si="123"/>
        <v>N</v>
      </c>
      <c r="T115" s="890" t="str">
        <f t="shared" si="124"/>
        <v>N</v>
      </c>
      <c r="U115" s="890" t="str">
        <f t="shared" si="125"/>
        <v>A</v>
      </c>
      <c r="V115" s="890" t="str">
        <f t="shared" si="126"/>
        <v>A</v>
      </c>
      <c r="W115" s="890" t="str">
        <f t="shared" si="127"/>
        <v>A</v>
      </c>
      <c r="X115" s="890" t="str">
        <f t="shared" si="128"/>
        <v>A</v>
      </c>
      <c r="Y115" s="890" t="str">
        <f t="shared" si="129"/>
        <v>N</v>
      </c>
      <c r="Z115" s="890" t="str">
        <f t="shared" si="130"/>
        <v>N</v>
      </c>
      <c r="AA115" s="890" t="str">
        <f t="shared" si="131"/>
        <v>A</v>
      </c>
      <c r="AB115" s="890" t="str">
        <f t="shared" si="132"/>
        <v>A</v>
      </c>
      <c r="AC115" s="890" t="str">
        <f t="shared" si="133"/>
        <v>N</v>
      </c>
      <c r="AD115" s="891"/>
      <c r="AE115" s="884"/>
      <c r="AF115" s="885"/>
      <c r="AG115" s="886"/>
      <c r="AH115" s="887"/>
      <c r="AI115" s="888"/>
      <c r="AK115" s="252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</row>
    <row r="116" spans="2:51" x14ac:dyDescent="0.3">
      <c r="B116" s="1151"/>
      <c r="C116" s="766" t="s">
        <v>425</v>
      </c>
      <c r="D116" s="892" t="s">
        <v>453</v>
      </c>
      <c r="E116" s="890" t="s">
        <v>453</v>
      </c>
      <c r="F116" s="890" t="s">
        <v>453</v>
      </c>
      <c r="G116" s="890" t="str">
        <f t="shared" si="120"/>
        <v>N</v>
      </c>
      <c r="H116" s="890"/>
      <c r="I116" s="890"/>
      <c r="J116" s="890"/>
      <c r="K116" s="890"/>
      <c r="L116" s="890" t="str">
        <f t="shared" si="121"/>
        <v>N</v>
      </c>
      <c r="M116" s="890" t="str">
        <f t="shared" si="121"/>
        <v>N</v>
      </c>
      <c r="N116" s="890" t="s">
        <v>453</v>
      </c>
      <c r="O116" s="890"/>
      <c r="P116" s="890" t="str">
        <f t="shared" si="122"/>
        <v>N</v>
      </c>
      <c r="Q116" s="890" t="str">
        <f t="shared" si="122"/>
        <v>N</v>
      </c>
      <c r="R116" s="890" t="str">
        <f t="shared" si="122"/>
        <v>N</v>
      </c>
      <c r="S116" s="890" t="str">
        <f t="shared" si="123"/>
        <v>N</v>
      </c>
      <c r="T116" s="890" t="str">
        <f t="shared" si="124"/>
        <v>N</v>
      </c>
      <c r="U116" s="890" t="str">
        <f t="shared" si="125"/>
        <v>N</v>
      </c>
      <c r="V116" s="890" t="str">
        <f t="shared" si="126"/>
        <v>A</v>
      </c>
      <c r="W116" s="890" t="str">
        <f t="shared" si="127"/>
        <v>N</v>
      </c>
      <c r="X116" s="890" t="str">
        <f t="shared" si="128"/>
        <v>N</v>
      </c>
      <c r="Y116" s="890" t="str">
        <f t="shared" si="129"/>
        <v>N</v>
      </c>
      <c r="Z116" s="890" t="str">
        <f t="shared" si="130"/>
        <v>N</v>
      </c>
      <c r="AA116" s="890" t="str">
        <f t="shared" si="131"/>
        <v>A</v>
      </c>
      <c r="AB116" s="890" t="str">
        <f t="shared" si="132"/>
        <v>N</v>
      </c>
      <c r="AC116" s="890" t="str">
        <f t="shared" si="133"/>
        <v>N</v>
      </c>
      <c r="AD116" s="891"/>
      <c r="AE116" s="884"/>
      <c r="AF116" s="885"/>
      <c r="AG116" s="886"/>
      <c r="AH116" s="887"/>
      <c r="AI116" s="888"/>
      <c r="AK116" s="252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</row>
    <row r="117" spans="2:51" x14ac:dyDescent="0.3">
      <c r="B117" s="1151"/>
      <c r="C117" s="766" t="s">
        <v>427</v>
      </c>
      <c r="D117" s="892" t="s">
        <v>453</v>
      </c>
      <c r="E117" s="890" t="s">
        <v>453</v>
      </c>
      <c r="F117" s="890" t="s">
        <v>453</v>
      </c>
      <c r="G117" s="890" t="str">
        <f t="shared" si="120"/>
        <v>A</v>
      </c>
      <c r="H117" s="890"/>
      <c r="I117" s="890"/>
      <c r="J117" s="890"/>
      <c r="K117" s="890"/>
      <c r="L117" s="890" t="str">
        <f t="shared" si="121"/>
        <v>A</v>
      </c>
      <c r="M117" s="890" t="str">
        <f t="shared" si="121"/>
        <v>A</v>
      </c>
      <c r="N117" s="890" t="s">
        <v>453</v>
      </c>
      <c r="O117" s="890"/>
      <c r="P117" s="890" t="str">
        <f t="shared" si="122"/>
        <v>N</v>
      </c>
      <c r="Q117" s="890" t="str">
        <f t="shared" si="122"/>
        <v>A</v>
      </c>
      <c r="R117" s="890" t="str">
        <f t="shared" si="122"/>
        <v>A</v>
      </c>
      <c r="S117" s="890" t="str">
        <f t="shared" si="123"/>
        <v>A</v>
      </c>
      <c r="T117" s="890" t="str">
        <f t="shared" si="124"/>
        <v>A</v>
      </c>
      <c r="U117" s="890" t="str">
        <f t="shared" si="125"/>
        <v>A</v>
      </c>
      <c r="V117" s="890" t="str">
        <f t="shared" si="126"/>
        <v>A</v>
      </c>
      <c r="W117" s="890" t="str">
        <f t="shared" si="127"/>
        <v>A</v>
      </c>
      <c r="X117" s="890" t="str">
        <f t="shared" si="128"/>
        <v>A</v>
      </c>
      <c r="Y117" s="890" t="str">
        <f t="shared" si="129"/>
        <v>A</v>
      </c>
      <c r="Z117" s="890" t="str">
        <f t="shared" si="130"/>
        <v>A</v>
      </c>
      <c r="AA117" s="890" t="str">
        <f t="shared" si="131"/>
        <v>A</v>
      </c>
      <c r="AB117" s="890" t="str">
        <f t="shared" si="132"/>
        <v>A</v>
      </c>
      <c r="AC117" s="890" t="str">
        <f t="shared" si="133"/>
        <v>A</v>
      </c>
      <c r="AD117" s="891"/>
      <c r="AE117" s="884"/>
      <c r="AF117" s="885"/>
      <c r="AG117" s="886"/>
      <c r="AH117" s="887"/>
      <c r="AI117" s="888"/>
      <c r="AK117" s="252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</row>
    <row r="118" spans="2:51" x14ac:dyDescent="0.3">
      <c r="B118" s="1151"/>
      <c r="C118" s="766" t="s">
        <v>429</v>
      </c>
      <c r="D118" s="892" t="s">
        <v>453</v>
      </c>
      <c r="E118" s="890" t="s">
        <v>453</v>
      </c>
      <c r="F118" s="890" t="s">
        <v>453</v>
      </c>
      <c r="G118" s="890" t="str">
        <f t="shared" si="120"/>
        <v>N</v>
      </c>
      <c r="H118" s="890"/>
      <c r="I118" s="890"/>
      <c r="J118" s="890"/>
      <c r="K118" s="890"/>
      <c r="L118" s="890" t="str">
        <f t="shared" si="121"/>
        <v>N</v>
      </c>
      <c r="M118" s="890" t="str">
        <f t="shared" si="121"/>
        <v>N</v>
      </c>
      <c r="N118" s="890" t="s">
        <v>453</v>
      </c>
      <c r="O118" s="890"/>
      <c r="P118" s="890" t="str">
        <f t="shared" si="122"/>
        <v>N</v>
      </c>
      <c r="Q118" s="890" t="str">
        <f t="shared" si="122"/>
        <v>N</v>
      </c>
      <c r="R118" s="890" t="str">
        <f t="shared" si="122"/>
        <v>N</v>
      </c>
      <c r="S118" s="890" t="str">
        <f t="shared" si="123"/>
        <v>N</v>
      </c>
      <c r="T118" s="890" t="str">
        <f t="shared" si="124"/>
        <v>N</v>
      </c>
      <c r="U118" s="890" t="str">
        <f t="shared" si="125"/>
        <v>N</v>
      </c>
      <c r="V118" s="890" t="str">
        <f t="shared" si="126"/>
        <v>N</v>
      </c>
      <c r="W118" s="890" t="str">
        <f t="shared" si="127"/>
        <v>N</v>
      </c>
      <c r="X118" s="890" t="str">
        <f t="shared" si="128"/>
        <v>N</v>
      </c>
      <c r="Y118" s="890" t="str">
        <f t="shared" si="129"/>
        <v>N</v>
      </c>
      <c r="Z118" s="890" t="str">
        <f t="shared" si="130"/>
        <v>N</v>
      </c>
      <c r="AA118" s="890" t="str">
        <f t="shared" si="131"/>
        <v>N</v>
      </c>
      <c r="AB118" s="890" t="str">
        <f t="shared" si="132"/>
        <v>N</v>
      </c>
      <c r="AC118" s="890" t="str">
        <f t="shared" si="133"/>
        <v>N</v>
      </c>
      <c r="AD118" s="891"/>
      <c r="AE118" s="884"/>
      <c r="AF118" s="885"/>
      <c r="AG118" s="886"/>
      <c r="AH118" s="887"/>
      <c r="AI118" s="888"/>
      <c r="AK118" s="252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</row>
    <row r="119" spans="2:51" x14ac:dyDescent="0.3">
      <c r="B119" s="1151"/>
      <c r="C119" s="770" t="s">
        <v>431</v>
      </c>
      <c r="D119" s="892" t="s">
        <v>453</v>
      </c>
      <c r="E119" s="890" t="s">
        <v>453</v>
      </c>
      <c r="F119" s="890" t="s">
        <v>453</v>
      </c>
      <c r="G119" s="890" t="str">
        <f t="shared" si="120"/>
        <v>N</v>
      </c>
      <c r="H119" s="890"/>
      <c r="I119" s="890"/>
      <c r="J119" s="890"/>
      <c r="K119" s="890"/>
      <c r="L119" s="890" t="str">
        <f t="shared" si="121"/>
        <v>A</v>
      </c>
      <c r="M119" s="890" t="str">
        <f t="shared" si="121"/>
        <v>N</v>
      </c>
      <c r="N119" s="890" t="s">
        <v>453</v>
      </c>
      <c r="O119" s="890"/>
      <c r="P119" s="890" t="str">
        <f t="shared" si="122"/>
        <v>N</v>
      </c>
      <c r="Q119" s="890" t="str">
        <f t="shared" si="122"/>
        <v>N</v>
      </c>
      <c r="R119" s="890" t="str">
        <f t="shared" si="122"/>
        <v>A</v>
      </c>
      <c r="S119" s="890" t="str">
        <f t="shared" si="123"/>
        <v>A</v>
      </c>
      <c r="T119" s="890" t="str">
        <f t="shared" si="124"/>
        <v>A</v>
      </c>
      <c r="U119" s="890" t="str">
        <f t="shared" si="125"/>
        <v>N</v>
      </c>
      <c r="V119" s="890" t="str">
        <f t="shared" si="126"/>
        <v>A</v>
      </c>
      <c r="W119" s="890" t="str">
        <f t="shared" si="127"/>
        <v>N</v>
      </c>
      <c r="X119" s="890" t="str">
        <f t="shared" si="128"/>
        <v>N</v>
      </c>
      <c r="Y119" s="890" t="str">
        <f t="shared" si="129"/>
        <v>A</v>
      </c>
      <c r="Z119" s="890" t="str">
        <f t="shared" si="130"/>
        <v>A</v>
      </c>
      <c r="AA119" s="890" t="str">
        <f t="shared" si="131"/>
        <v>A</v>
      </c>
      <c r="AB119" s="890" t="str">
        <f t="shared" si="132"/>
        <v>N</v>
      </c>
      <c r="AC119" s="890" t="str">
        <f t="shared" si="133"/>
        <v>A</v>
      </c>
      <c r="AD119" s="891"/>
      <c r="AE119" s="884"/>
      <c r="AF119" s="885"/>
      <c r="AG119" s="886"/>
      <c r="AH119" s="887"/>
      <c r="AI119" s="888"/>
      <c r="AK119" s="252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</row>
    <row r="120" spans="2:51" x14ac:dyDescent="0.3">
      <c r="B120" s="893"/>
      <c r="C120" s="894" t="s">
        <v>461</v>
      </c>
      <c r="D120" s="895">
        <v>0</v>
      </c>
      <c r="E120" s="896">
        <v>0</v>
      </c>
      <c r="F120" s="897">
        <v>0</v>
      </c>
      <c r="G120" s="897">
        <f t="shared" si="120"/>
        <v>0.25</v>
      </c>
      <c r="H120" s="897"/>
      <c r="I120" s="897"/>
      <c r="J120" s="897"/>
      <c r="K120" s="897"/>
      <c r="L120" s="897">
        <f t="shared" si="121"/>
        <v>0.2</v>
      </c>
      <c r="M120" s="897">
        <f t="shared" si="121"/>
        <v>0.25</v>
      </c>
      <c r="N120" s="897">
        <v>0</v>
      </c>
      <c r="O120" s="897"/>
      <c r="P120" s="897">
        <f t="shared" si="122"/>
        <v>0</v>
      </c>
      <c r="Q120" s="897">
        <f t="shared" si="122"/>
        <v>0.25</v>
      </c>
      <c r="R120" s="897">
        <f t="shared" si="122"/>
        <v>0.2</v>
      </c>
      <c r="S120" s="897">
        <f t="shared" si="123"/>
        <v>0.2</v>
      </c>
      <c r="T120" s="897">
        <f t="shared" si="124"/>
        <v>0.2</v>
      </c>
      <c r="U120" s="897">
        <f t="shared" si="125"/>
        <v>0.25</v>
      </c>
      <c r="V120" s="897">
        <f t="shared" si="126"/>
        <v>0.35</v>
      </c>
      <c r="W120" s="897">
        <f t="shared" ref="W120" si="134">W20</f>
        <v>0.25</v>
      </c>
      <c r="X120" s="897">
        <f t="shared" si="128"/>
        <v>0.25</v>
      </c>
      <c r="Y120" s="897">
        <f t="shared" si="129"/>
        <v>0.2</v>
      </c>
      <c r="Z120" s="897">
        <f t="shared" si="130"/>
        <v>0.2</v>
      </c>
      <c r="AA120" s="897">
        <f t="shared" si="131"/>
        <v>0.35</v>
      </c>
      <c r="AB120" s="897">
        <f t="shared" si="132"/>
        <v>0.25</v>
      </c>
      <c r="AC120" s="897">
        <f t="shared" si="133"/>
        <v>0.2</v>
      </c>
      <c r="AD120" s="898"/>
      <c r="AE120" s="899"/>
      <c r="AF120" s="900"/>
      <c r="AG120" s="901"/>
      <c r="AH120" s="901"/>
      <c r="AI120" s="902"/>
      <c r="AK120" s="252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</row>
    <row r="121" spans="2:51" ht="72.599999999999994" customHeight="1" x14ac:dyDescent="0.3">
      <c r="B121" s="808" t="str">
        <f>'Procesy - AS IS'!B32</f>
        <v>Meranie č. 9</v>
      </c>
      <c r="C121" s="769" t="str">
        <f>'Procesy - AS IS'!$C$32</f>
        <v>MAKOS, a.s. Bardejov, Kontrola emisie skleníkových plynov, kontrola: 4828-15367/53/2017/Kve
spravne konanie: 7490-33731/Ulb
odvolanie: 1110-2247/Šte</v>
      </c>
      <c r="D121" s="872">
        <f>-'Procesy - AS IS'!D34*D134</f>
        <v>0</v>
      </c>
      <c r="E121" s="752">
        <f>-'Procesy - AS IS'!E34*E134</f>
        <v>0</v>
      </c>
      <c r="F121" s="752">
        <f>-'Procesy - AS IS'!F34*F134</f>
        <v>0</v>
      </c>
      <c r="G121" s="752">
        <f>-'Procesy - AS IS'!G34*G134</f>
        <v>-4</v>
      </c>
      <c r="H121" s="752" t="s">
        <v>523</v>
      </c>
      <c r="I121" s="752" t="s">
        <v>523</v>
      </c>
      <c r="J121" s="752" t="s">
        <v>523</v>
      </c>
      <c r="K121" s="752" t="s">
        <v>523</v>
      </c>
      <c r="L121" s="752">
        <f>-'Procesy - AS IS'!L34*L134</f>
        <v>-0.05</v>
      </c>
      <c r="M121" s="752">
        <f>-'Procesy - AS IS'!M34*M134</f>
        <v>-1.5</v>
      </c>
      <c r="N121" s="752">
        <f>-'Procesy - AS IS'!N34*N134</f>
        <v>0</v>
      </c>
      <c r="O121" s="752" t="s">
        <v>524</v>
      </c>
      <c r="P121" s="752">
        <f>-'Procesy - AS IS'!P34*P134</f>
        <v>0</v>
      </c>
      <c r="Q121" s="752">
        <f>-'Procesy - AS IS'!Q34*Q134</f>
        <v>0</v>
      </c>
      <c r="R121" s="752">
        <f>-'Procesy - AS IS'!R34*R134</f>
        <v>0</v>
      </c>
      <c r="S121" s="752">
        <f>-'Procesy - AS IS'!S34*S134</f>
        <v>0</v>
      </c>
      <c r="T121" s="752">
        <f>-'Procesy - AS IS'!T34*T134</f>
        <v>0</v>
      </c>
      <c r="U121" s="752">
        <f>-'Procesy - AS IS'!U34*U134</f>
        <v>-1</v>
      </c>
      <c r="V121" s="752">
        <f>-'Procesy - AS IS'!V34*V134</f>
        <v>-0.17499999999999999</v>
      </c>
      <c r="W121" s="752">
        <f>-'Procesy - AS IS'!W34*W134</f>
        <v>0</v>
      </c>
      <c r="X121" s="752">
        <f>-'Procesy - AS IS'!X34*X134</f>
        <v>0</v>
      </c>
      <c r="Y121" s="752">
        <f>-'Procesy - AS IS'!Y34*Y134</f>
        <v>0</v>
      </c>
      <c r="Z121" s="752">
        <f>-'Procesy - AS IS'!Z34*Z134</f>
        <v>0</v>
      </c>
      <c r="AA121" s="752">
        <f>-'Procesy - AS IS'!AA34*AA134</f>
        <v>0</v>
      </c>
      <c r="AB121" s="752">
        <f>-'Procesy - AS IS'!AB34*AB134</f>
        <v>0</v>
      </c>
      <c r="AC121" s="752">
        <f>-'Procesy - AS IS'!AC34*AC134</f>
        <v>0</v>
      </c>
      <c r="AD121" s="903">
        <f>SUM(D121:AC121)</f>
        <v>-6.7249999999999996</v>
      </c>
      <c r="AE121" s="880">
        <f>AD121/'Procesy - AS IS'!AD34</f>
        <v>-0.25140186915887847</v>
      </c>
      <c r="AF121" s="881">
        <f>'Procesy - AS IS'!AG34/(1+$AE121)-'Procesy - AS IS'!AG34</f>
        <v>15.448189762796495</v>
      </c>
      <c r="AG121" s="882">
        <f>'Procesy - AS IS'!AH34/(1+$AE121)-'Procesy - AS IS'!AH34</f>
        <v>0</v>
      </c>
      <c r="AH121" s="877">
        <f>'Procesy - AS IS'!AI34/(1+$AE121)-'Procesy - AS IS'!AI34</f>
        <v>0</v>
      </c>
      <c r="AI121" s="878">
        <f>'Procesy - AS IS'!AJ34/(1+$AE121)-'Procesy - AS IS'!AJ34</f>
        <v>0</v>
      </c>
      <c r="AK121" s="252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</row>
    <row r="122" spans="2:51" x14ac:dyDescent="0.3">
      <c r="B122" s="1150" t="s">
        <v>451</v>
      </c>
      <c r="C122" s="766" t="s">
        <v>409</v>
      </c>
      <c r="D122" s="771" t="s">
        <v>453</v>
      </c>
      <c r="E122" s="772" t="s">
        <v>453</v>
      </c>
      <c r="F122" s="890" t="s">
        <v>453</v>
      </c>
      <c r="G122" s="890" t="str">
        <f t="shared" ref="G122:G134" si="135">G80</f>
        <v>A</v>
      </c>
      <c r="H122" s="890"/>
      <c r="I122" s="890"/>
      <c r="J122" s="890"/>
      <c r="K122" s="890"/>
      <c r="L122" s="890" t="str">
        <f t="shared" ref="L122:M134" si="136">L108</f>
        <v>A</v>
      </c>
      <c r="M122" s="890" t="str">
        <f t="shared" si="136"/>
        <v>A</v>
      </c>
      <c r="N122" s="890" t="s">
        <v>453</v>
      </c>
      <c r="O122" s="890"/>
      <c r="P122" s="890" t="str">
        <f t="shared" ref="P122:R134" si="137">P80</f>
        <v>N</v>
      </c>
      <c r="Q122" s="890" t="str">
        <f t="shared" si="137"/>
        <v>A</v>
      </c>
      <c r="R122" s="890" t="str">
        <f t="shared" si="137"/>
        <v>A</v>
      </c>
      <c r="S122" s="890" t="str">
        <f t="shared" ref="S122:S134" si="138">R122</f>
        <v>A</v>
      </c>
      <c r="T122" s="890" t="str">
        <f t="shared" ref="T122:T134" si="139">R122</f>
        <v>A</v>
      </c>
      <c r="U122" s="890" t="str">
        <f t="shared" ref="U122:U134" si="140">G108</f>
        <v>A</v>
      </c>
      <c r="V122" s="890" t="str">
        <f t="shared" ref="V122:V134" si="141">V80</f>
        <v>A</v>
      </c>
      <c r="W122" s="890" t="str">
        <f t="shared" ref="W122:W133" si="142">W7</f>
        <v>A</v>
      </c>
      <c r="X122" s="890" t="str">
        <f t="shared" ref="X122:X134" si="143">G122</f>
        <v>A</v>
      </c>
      <c r="Y122" s="890" t="str">
        <f t="shared" ref="Y122:Y134" si="144">R122</f>
        <v>A</v>
      </c>
      <c r="Z122" s="890" t="str">
        <f t="shared" ref="Z122:Z134" si="145">R122</f>
        <v>A</v>
      </c>
      <c r="AA122" s="890" t="str">
        <f t="shared" ref="AA122:AA134" si="146">$V122</f>
        <v>A</v>
      </c>
      <c r="AB122" s="890" t="str">
        <f t="shared" ref="AB122:AB134" si="147">G122</f>
        <v>A</v>
      </c>
      <c r="AC122" s="890" t="str">
        <f t="shared" ref="AC122:AC134" si="148">R122</f>
        <v>A</v>
      </c>
      <c r="AD122" s="891"/>
      <c r="AE122" s="884"/>
      <c r="AF122" s="885"/>
      <c r="AG122" s="886"/>
      <c r="AH122" s="887"/>
      <c r="AI122" s="888"/>
      <c r="AK122" s="252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</row>
    <row r="123" spans="2:51" x14ac:dyDescent="0.3">
      <c r="B123" s="1151"/>
      <c r="C123" s="766" t="s">
        <v>411</v>
      </c>
      <c r="D123" s="889" t="s">
        <v>453</v>
      </c>
      <c r="E123" s="890" t="s">
        <v>453</v>
      </c>
      <c r="F123" s="890" t="s">
        <v>453</v>
      </c>
      <c r="G123" s="890" t="str">
        <f t="shared" si="135"/>
        <v>N</v>
      </c>
      <c r="H123" s="890"/>
      <c r="I123" s="890"/>
      <c r="J123" s="890"/>
      <c r="K123" s="890"/>
      <c r="L123" s="890" t="str">
        <f t="shared" si="136"/>
        <v>N</v>
      </c>
      <c r="M123" s="890" t="str">
        <f t="shared" si="136"/>
        <v>N</v>
      </c>
      <c r="N123" s="890" t="s">
        <v>453</v>
      </c>
      <c r="O123" s="890"/>
      <c r="P123" s="890" t="str">
        <f t="shared" si="137"/>
        <v>N</v>
      </c>
      <c r="Q123" s="890" t="str">
        <f t="shared" si="137"/>
        <v>N</v>
      </c>
      <c r="R123" s="890" t="str">
        <f t="shared" si="137"/>
        <v>N</v>
      </c>
      <c r="S123" s="890" t="str">
        <f t="shared" si="138"/>
        <v>N</v>
      </c>
      <c r="T123" s="890" t="str">
        <f t="shared" si="139"/>
        <v>N</v>
      </c>
      <c r="U123" s="890" t="str">
        <f t="shared" si="140"/>
        <v>N</v>
      </c>
      <c r="V123" s="890" t="str">
        <f t="shared" si="141"/>
        <v>N</v>
      </c>
      <c r="W123" s="890" t="str">
        <f t="shared" si="142"/>
        <v>N</v>
      </c>
      <c r="X123" s="890" t="str">
        <f t="shared" si="143"/>
        <v>N</v>
      </c>
      <c r="Y123" s="890" t="str">
        <f t="shared" si="144"/>
        <v>N</v>
      </c>
      <c r="Z123" s="890" t="str">
        <f t="shared" si="145"/>
        <v>N</v>
      </c>
      <c r="AA123" s="890" t="str">
        <f t="shared" si="146"/>
        <v>N</v>
      </c>
      <c r="AB123" s="890" t="str">
        <f t="shared" si="147"/>
        <v>N</v>
      </c>
      <c r="AC123" s="890" t="str">
        <f t="shared" si="148"/>
        <v>N</v>
      </c>
      <c r="AD123" s="891"/>
      <c r="AE123" s="884"/>
      <c r="AF123" s="885"/>
      <c r="AG123" s="886"/>
      <c r="AH123" s="887"/>
      <c r="AI123" s="888"/>
      <c r="AK123" s="252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</row>
    <row r="124" spans="2:51" x14ac:dyDescent="0.3">
      <c r="B124" s="1151"/>
      <c r="C124" s="766" t="s">
        <v>413</v>
      </c>
      <c r="D124" s="889" t="s">
        <v>453</v>
      </c>
      <c r="E124" s="890" t="s">
        <v>453</v>
      </c>
      <c r="F124" s="890" t="s">
        <v>453</v>
      </c>
      <c r="G124" s="890" t="str">
        <f t="shared" si="135"/>
        <v>N</v>
      </c>
      <c r="H124" s="890"/>
      <c r="I124" s="890"/>
      <c r="J124" s="890"/>
      <c r="K124" s="890"/>
      <c r="L124" s="890" t="str">
        <f t="shared" si="136"/>
        <v>N</v>
      </c>
      <c r="M124" s="890" t="str">
        <f t="shared" si="136"/>
        <v>N</v>
      </c>
      <c r="N124" s="890" t="s">
        <v>453</v>
      </c>
      <c r="O124" s="890"/>
      <c r="P124" s="890" t="str">
        <f t="shared" si="137"/>
        <v>N</v>
      </c>
      <c r="Q124" s="890" t="str">
        <f t="shared" si="137"/>
        <v>N</v>
      </c>
      <c r="R124" s="890" t="str">
        <f t="shared" si="137"/>
        <v>N</v>
      </c>
      <c r="S124" s="890" t="str">
        <f t="shared" si="138"/>
        <v>N</v>
      </c>
      <c r="T124" s="890" t="str">
        <f t="shared" si="139"/>
        <v>N</v>
      </c>
      <c r="U124" s="890" t="str">
        <f t="shared" si="140"/>
        <v>N</v>
      </c>
      <c r="V124" s="890" t="str">
        <f t="shared" si="141"/>
        <v>N</v>
      </c>
      <c r="W124" s="890" t="str">
        <f t="shared" si="142"/>
        <v>N</v>
      </c>
      <c r="X124" s="890" t="str">
        <f t="shared" si="143"/>
        <v>N</v>
      </c>
      <c r="Y124" s="890" t="str">
        <f t="shared" si="144"/>
        <v>N</v>
      </c>
      <c r="Z124" s="890" t="str">
        <f t="shared" si="145"/>
        <v>N</v>
      </c>
      <c r="AA124" s="890" t="str">
        <f t="shared" si="146"/>
        <v>N</v>
      </c>
      <c r="AB124" s="890" t="str">
        <f t="shared" si="147"/>
        <v>N</v>
      </c>
      <c r="AC124" s="890" t="str">
        <f t="shared" si="148"/>
        <v>N</v>
      </c>
      <c r="AD124" s="891"/>
      <c r="AE124" s="884"/>
      <c r="AF124" s="885"/>
      <c r="AG124" s="886"/>
      <c r="AH124" s="887"/>
      <c r="AI124" s="888"/>
      <c r="AK124" s="252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</row>
    <row r="125" spans="2:51" x14ac:dyDescent="0.3">
      <c r="B125" s="1151"/>
      <c r="C125" s="766" t="s">
        <v>415</v>
      </c>
      <c r="D125" s="892" t="s">
        <v>453</v>
      </c>
      <c r="E125" s="890" t="s">
        <v>453</v>
      </c>
      <c r="F125" s="890" t="s">
        <v>453</v>
      </c>
      <c r="G125" s="890" t="str">
        <f t="shared" si="135"/>
        <v>N</v>
      </c>
      <c r="H125" s="890"/>
      <c r="I125" s="890"/>
      <c r="J125" s="890"/>
      <c r="K125" s="890"/>
      <c r="L125" s="890" t="str">
        <f t="shared" si="136"/>
        <v>N</v>
      </c>
      <c r="M125" s="890" t="str">
        <f t="shared" si="136"/>
        <v>N</v>
      </c>
      <c r="N125" s="890" t="s">
        <v>453</v>
      </c>
      <c r="O125" s="890"/>
      <c r="P125" s="890" t="str">
        <f t="shared" si="137"/>
        <v>N</v>
      </c>
      <c r="Q125" s="890" t="str">
        <f t="shared" si="137"/>
        <v>N</v>
      </c>
      <c r="R125" s="890" t="str">
        <f t="shared" si="137"/>
        <v>N</v>
      </c>
      <c r="S125" s="890" t="str">
        <f t="shared" si="138"/>
        <v>N</v>
      </c>
      <c r="T125" s="890" t="str">
        <f t="shared" si="139"/>
        <v>N</v>
      </c>
      <c r="U125" s="890" t="str">
        <f t="shared" si="140"/>
        <v>N</v>
      </c>
      <c r="V125" s="890" t="str">
        <f t="shared" si="141"/>
        <v>N</v>
      </c>
      <c r="W125" s="890" t="str">
        <f t="shared" si="142"/>
        <v>N</v>
      </c>
      <c r="X125" s="890" t="str">
        <f t="shared" si="143"/>
        <v>N</v>
      </c>
      <c r="Y125" s="890" t="str">
        <f t="shared" si="144"/>
        <v>N</v>
      </c>
      <c r="Z125" s="890" t="str">
        <f t="shared" si="145"/>
        <v>N</v>
      </c>
      <c r="AA125" s="890" t="str">
        <f t="shared" si="146"/>
        <v>N</v>
      </c>
      <c r="AB125" s="890" t="str">
        <f t="shared" si="147"/>
        <v>N</v>
      </c>
      <c r="AC125" s="890" t="str">
        <f t="shared" si="148"/>
        <v>N</v>
      </c>
      <c r="AD125" s="891"/>
      <c r="AE125" s="884"/>
      <c r="AF125" s="885"/>
      <c r="AG125" s="886"/>
      <c r="AH125" s="887"/>
      <c r="AI125" s="888"/>
      <c r="AK125" s="252"/>
      <c r="AL125" s="254"/>
      <c r="AM125" s="254"/>
      <c r="AN125" s="254"/>
      <c r="AO125" s="254"/>
      <c r="AP125" s="254"/>
      <c r="AQ125" s="254"/>
      <c r="AR125" s="254"/>
      <c r="AS125" s="254"/>
      <c r="AT125" s="254"/>
      <c r="AU125" s="254"/>
      <c r="AV125" s="254"/>
      <c r="AW125" s="254"/>
      <c r="AX125" s="254"/>
      <c r="AY125" s="254"/>
    </row>
    <row r="126" spans="2:51" x14ac:dyDescent="0.3">
      <c r="B126" s="1151"/>
      <c r="C126" s="766" t="s">
        <v>417</v>
      </c>
      <c r="D126" s="892" t="s">
        <v>453</v>
      </c>
      <c r="E126" s="890" t="s">
        <v>453</v>
      </c>
      <c r="F126" s="890" t="s">
        <v>453</v>
      </c>
      <c r="G126" s="890" t="str">
        <f t="shared" si="135"/>
        <v>A</v>
      </c>
      <c r="H126" s="890"/>
      <c r="I126" s="890"/>
      <c r="J126" s="890"/>
      <c r="K126" s="890"/>
      <c r="L126" s="890" t="str">
        <f t="shared" si="136"/>
        <v>A</v>
      </c>
      <c r="M126" s="890" t="str">
        <f t="shared" si="136"/>
        <v>A</v>
      </c>
      <c r="N126" s="890" t="s">
        <v>453</v>
      </c>
      <c r="O126" s="890"/>
      <c r="P126" s="890" t="str">
        <f t="shared" si="137"/>
        <v>N</v>
      </c>
      <c r="Q126" s="890" t="str">
        <f t="shared" si="137"/>
        <v>A</v>
      </c>
      <c r="R126" s="890" t="str">
        <f t="shared" si="137"/>
        <v>A</v>
      </c>
      <c r="S126" s="890" t="str">
        <f t="shared" si="138"/>
        <v>A</v>
      </c>
      <c r="T126" s="890" t="str">
        <f t="shared" si="139"/>
        <v>A</v>
      </c>
      <c r="U126" s="890" t="str">
        <f t="shared" si="140"/>
        <v>A</v>
      </c>
      <c r="V126" s="890" t="str">
        <f t="shared" si="141"/>
        <v>A</v>
      </c>
      <c r="W126" s="890" t="str">
        <f t="shared" si="142"/>
        <v>A</v>
      </c>
      <c r="X126" s="890" t="str">
        <f t="shared" si="143"/>
        <v>A</v>
      </c>
      <c r="Y126" s="890" t="str">
        <f t="shared" si="144"/>
        <v>A</v>
      </c>
      <c r="Z126" s="890" t="str">
        <f t="shared" si="145"/>
        <v>A</v>
      </c>
      <c r="AA126" s="890" t="str">
        <f t="shared" si="146"/>
        <v>A</v>
      </c>
      <c r="AB126" s="890" t="str">
        <f t="shared" si="147"/>
        <v>A</v>
      </c>
      <c r="AC126" s="890" t="str">
        <f t="shared" si="148"/>
        <v>A</v>
      </c>
      <c r="AD126" s="891"/>
      <c r="AE126" s="884"/>
      <c r="AF126" s="885"/>
      <c r="AG126" s="886"/>
      <c r="AH126" s="887"/>
      <c r="AI126" s="888"/>
      <c r="AK126" s="252"/>
      <c r="AL126" s="254"/>
      <c r="AM126" s="254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4"/>
      <c r="AX126" s="254"/>
      <c r="AY126" s="254"/>
    </row>
    <row r="127" spans="2:51" x14ac:dyDescent="0.3">
      <c r="B127" s="1151"/>
      <c r="C127" s="766" t="s">
        <v>419</v>
      </c>
      <c r="D127" s="892" t="s">
        <v>453</v>
      </c>
      <c r="E127" s="890" t="s">
        <v>453</v>
      </c>
      <c r="F127" s="890" t="s">
        <v>453</v>
      </c>
      <c r="G127" s="890" t="str">
        <f t="shared" si="135"/>
        <v>A</v>
      </c>
      <c r="H127" s="890"/>
      <c r="I127" s="890"/>
      <c r="J127" s="890"/>
      <c r="K127" s="890"/>
      <c r="L127" s="890" t="str">
        <f t="shared" si="136"/>
        <v>A</v>
      </c>
      <c r="M127" s="890" t="str">
        <f t="shared" si="136"/>
        <v>A</v>
      </c>
      <c r="N127" s="890" t="s">
        <v>453</v>
      </c>
      <c r="O127" s="890"/>
      <c r="P127" s="890" t="str">
        <f t="shared" si="137"/>
        <v>N</v>
      </c>
      <c r="Q127" s="890" t="str">
        <f t="shared" si="137"/>
        <v>A</v>
      </c>
      <c r="R127" s="890" t="str">
        <f t="shared" si="137"/>
        <v>A</v>
      </c>
      <c r="S127" s="890" t="str">
        <f t="shared" si="138"/>
        <v>A</v>
      </c>
      <c r="T127" s="890" t="str">
        <f t="shared" si="139"/>
        <v>A</v>
      </c>
      <c r="U127" s="890" t="str">
        <f t="shared" si="140"/>
        <v>A</v>
      </c>
      <c r="V127" s="890" t="str">
        <f t="shared" si="141"/>
        <v>A</v>
      </c>
      <c r="W127" s="890" t="str">
        <f t="shared" si="142"/>
        <v>A</v>
      </c>
      <c r="X127" s="890" t="str">
        <f t="shared" si="143"/>
        <v>A</v>
      </c>
      <c r="Y127" s="890" t="str">
        <f t="shared" si="144"/>
        <v>A</v>
      </c>
      <c r="Z127" s="890" t="str">
        <f t="shared" si="145"/>
        <v>A</v>
      </c>
      <c r="AA127" s="890" t="str">
        <f t="shared" si="146"/>
        <v>A</v>
      </c>
      <c r="AB127" s="890" t="str">
        <f t="shared" si="147"/>
        <v>A</v>
      </c>
      <c r="AC127" s="890" t="str">
        <f t="shared" si="148"/>
        <v>A</v>
      </c>
      <c r="AD127" s="891"/>
      <c r="AE127" s="884"/>
      <c r="AF127" s="885"/>
      <c r="AG127" s="886"/>
      <c r="AH127" s="887"/>
      <c r="AI127" s="888"/>
      <c r="AK127" s="252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4"/>
      <c r="AX127" s="254"/>
      <c r="AY127" s="254"/>
    </row>
    <row r="128" spans="2:51" x14ac:dyDescent="0.3">
      <c r="B128" s="1151"/>
      <c r="C128" s="766" t="s">
        <v>421</v>
      </c>
      <c r="D128" s="892" t="s">
        <v>453</v>
      </c>
      <c r="E128" s="890" t="s">
        <v>453</v>
      </c>
      <c r="F128" s="890" t="s">
        <v>453</v>
      </c>
      <c r="G128" s="890" t="str">
        <f t="shared" si="135"/>
        <v>A</v>
      </c>
      <c r="H128" s="890"/>
      <c r="I128" s="890"/>
      <c r="J128" s="890"/>
      <c r="K128" s="890"/>
      <c r="L128" s="890" t="str">
        <f t="shared" si="136"/>
        <v>N</v>
      </c>
      <c r="M128" s="890" t="str">
        <f t="shared" si="136"/>
        <v>A</v>
      </c>
      <c r="N128" s="890" t="s">
        <v>453</v>
      </c>
      <c r="O128" s="890"/>
      <c r="P128" s="890" t="str">
        <f t="shared" si="137"/>
        <v>N</v>
      </c>
      <c r="Q128" s="890" t="str">
        <f t="shared" si="137"/>
        <v>A</v>
      </c>
      <c r="R128" s="890" t="str">
        <f t="shared" si="137"/>
        <v>N</v>
      </c>
      <c r="S128" s="890" t="str">
        <f t="shared" si="138"/>
        <v>N</v>
      </c>
      <c r="T128" s="890" t="str">
        <f t="shared" si="139"/>
        <v>N</v>
      </c>
      <c r="U128" s="890" t="str">
        <f t="shared" si="140"/>
        <v>A</v>
      </c>
      <c r="V128" s="890" t="str">
        <f t="shared" si="141"/>
        <v>A</v>
      </c>
      <c r="W128" s="890" t="str">
        <f t="shared" si="142"/>
        <v>A</v>
      </c>
      <c r="X128" s="890" t="str">
        <f t="shared" si="143"/>
        <v>A</v>
      </c>
      <c r="Y128" s="890" t="str">
        <f t="shared" si="144"/>
        <v>N</v>
      </c>
      <c r="Z128" s="890" t="str">
        <f t="shared" si="145"/>
        <v>N</v>
      </c>
      <c r="AA128" s="890" t="str">
        <f t="shared" si="146"/>
        <v>A</v>
      </c>
      <c r="AB128" s="890" t="str">
        <f t="shared" si="147"/>
        <v>A</v>
      </c>
      <c r="AC128" s="890" t="str">
        <f t="shared" si="148"/>
        <v>N</v>
      </c>
      <c r="AD128" s="891"/>
      <c r="AE128" s="884"/>
      <c r="AF128" s="885"/>
      <c r="AG128" s="886"/>
      <c r="AH128" s="887"/>
      <c r="AI128" s="888"/>
      <c r="AK128" s="252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4"/>
      <c r="AX128" s="254"/>
      <c r="AY128" s="254"/>
    </row>
    <row r="129" spans="2:51" x14ac:dyDescent="0.3">
      <c r="B129" s="1151"/>
      <c r="C129" s="766" t="s">
        <v>423</v>
      </c>
      <c r="D129" s="892" t="s">
        <v>453</v>
      </c>
      <c r="E129" s="890" t="s">
        <v>453</v>
      </c>
      <c r="F129" s="890" t="s">
        <v>453</v>
      </c>
      <c r="G129" s="890" t="str">
        <f t="shared" si="135"/>
        <v>A</v>
      </c>
      <c r="H129" s="890"/>
      <c r="I129" s="890"/>
      <c r="J129" s="890"/>
      <c r="K129" s="890"/>
      <c r="L129" s="890" t="str">
        <f t="shared" si="136"/>
        <v>N</v>
      </c>
      <c r="M129" s="890" t="str">
        <f t="shared" si="136"/>
        <v>A</v>
      </c>
      <c r="N129" s="890" t="s">
        <v>453</v>
      </c>
      <c r="O129" s="890"/>
      <c r="P129" s="890" t="str">
        <f t="shared" si="137"/>
        <v>N</v>
      </c>
      <c r="Q129" s="890" t="str">
        <f t="shared" si="137"/>
        <v>A</v>
      </c>
      <c r="R129" s="890" t="str">
        <f t="shared" si="137"/>
        <v>N</v>
      </c>
      <c r="S129" s="890" t="str">
        <f t="shared" si="138"/>
        <v>N</v>
      </c>
      <c r="T129" s="890" t="str">
        <f t="shared" si="139"/>
        <v>N</v>
      </c>
      <c r="U129" s="890" t="str">
        <f t="shared" si="140"/>
        <v>A</v>
      </c>
      <c r="V129" s="890" t="str">
        <f t="shared" si="141"/>
        <v>A</v>
      </c>
      <c r="W129" s="890" t="str">
        <f t="shared" si="142"/>
        <v>A</v>
      </c>
      <c r="X129" s="890" t="str">
        <f t="shared" si="143"/>
        <v>A</v>
      </c>
      <c r="Y129" s="890" t="str">
        <f t="shared" si="144"/>
        <v>N</v>
      </c>
      <c r="Z129" s="890" t="str">
        <f t="shared" si="145"/>
        <v>N</v>
      </c>
      <c r="AA129" s="890" t="str">
        <f t="shared" si="146"/>
        <v>A</v>
      </c>
      <c r="AB129" s="890" t="str">
        <f t="shared" si="147"/>
        <v>A</v>
      </c>
      <c r="AC129" s="890" t="str">
        <f t="shared" si="148"/>
        <v>N</v>
      </c>
      <c r="AD129" s="891"/>
      <c r="AE129" s="884"/>
      <c r="AF129" s="885"/>
      <c r="AG129" s="886"/>
      <c r="AH129" s="887"/>
      <c r="AI129" s="888"/>
      <c r="AK129" s="252"/>
      <c r="AL129" s="254"/>
      <c r="AM129" s="254"/>
      <c r="AN129" s="254"/>
      <c r="AO129" s="254"/>
      <c r="AP129" s="254"/>
      <c r="AQ129" s="254"/>
      <c r="AR129" s="254"/>
      <c r="AS129" s="254"/>
      <c r="AT129" s="254"/>
      <c r="AU129" s="254"/>
      <c r="AV129" s="254"/>
      <c r="AW129" s="254"/>
      <c r="AX129" s="254"/>
      <c r="AY129" s="254"/>
    </row>
    <row r="130" spans="2:51" x14ac:dyDescent="0.3">
      <c r="B130" s="1151"/>
      <c r="C130" s="766" t="s">
        <v>425</v>
      </c>
      <c r="D130" s="892" t="s">
        <v>453</v>
      </c>
      <c r="E130" s="890" t="s">
        <v>453</v>
      </c>
      <c r="F130" s="890" t="s">
        <v>453</v>
      </c>
      <c r="G130" s="890" t="str">
        <f t="shared" si="135"/>
        <v>N</v>
      </c>
      <c r="H130" s="890"/>
      <c r="I130" s="890"/>
      <c r="J130" s="890"/>
      <c r="K130" s="890"/>
      <c r="L130" s="890" t="str">
        <f t="shared" si="136"/>
        <v>N</v>
      </c>
      <c r="M130" s="890" t="str">
        <f t="shared" si="136"/>
        <v>N</v>
      </c>
      <c r="N130" s="890" t="s">
        <v>453</v>
      </c>
      <c r="O130" s="890"/>
      <c r="P130" s="890" t="str">
        <f t="shared" si="137"/>
        <v>N</v>
      </c>
      <c r="Q130" s="890" t="str">
        <f t="shared" si="137"/>
        <v>N</v>
      </c>
      <c r="R130" s="890" t="str">
        <f t="shared" si="137"/>
        <v>N</v>
      </c>
      <c r="S130" s="890" t="str">
        <f t="shared" si="138"/>
        <v>N</v>
      </c>
      <c r="T130" s="890" t="str">
        <f t="shared" si="139"/>
        <v>N</v>
      </c>
      <c r="U130" s="890" t="str">
        <f t="shared" si="140"/>
        <v>N</v>
      </c>
      <c r="V130" s="890" t="str">
        <f t="shared" si="141"/>
        <v>A</v>
      </c>
      <c r="W130" s="890" t="str">
        <f t="shared" si="142"/>
        <v>N</v>
      </c>
      <c r="X130" s="890" t="str">
        <f t="shared" si="143"/>
        <v>N</v>
      </c>
      <c r="Y130" s="890" t="str">
        <f t="shared" si="144"/>
        <v>N</v>
      </c>
      <c r="Z130" s="890" t="str">
        <f t="shared" si="145"/>
        <v>N</v>
      </c>
      <c r="AA130" s="890" t="str">
        <f t="shared" si="146"/>
        <v>A</v>
      </c>
      <c r="AB130" s="890" t="str">
        <f t="shared" si="147"/>
        <v>N</v>
      </c>
      <c r="AC130" s="890" t="str">
        <f t="shared" si="148"/>
        <v>N</v>
      </c>
      <c r="AD130" s="891"/>
      <c r="AE130" s="884"/>
      <c r="AF130" s="885"/>
      <c r="AG130" s="886"/>
      <c r="AH130" s="887"/>
      <c r="AI130" s="888"/>
      <c r="AK130" s="252"/>
      <c r="AL130" s="254"/>
      <c r="AM130" s="254"/>
      <c r="AN130" s="254"/>
      <c r="AO130" s="254"/>
      <c r="AP130" s="254"/>
      <c r="AQ130" s="254"/>
      <c r="AR130" s="254"/>
      <c r="AS130" s="254"/>
      <c r="AT130" s="254"/>
      <c r="AU130" s="254"/>
      <c r="AV130" s="254"/>
      <c r="AW130" s="254"/>
      <c r="AX130" s="254"/>
      <c r="AY130" s="254"/>
    </row>
    <row r="131" spans="2:51" x14ac:dyDescent="0.3">
      <c r="B131" s="1151"/>
      <c r="C131" s="766" t="s">
        <v>427</v>
      </c>
      <c r="D131" s="892" t="s">
        <v>453</v>
      </c>
      <c r="E131" s="890" t="s">
        <v>453</v>
      </c>
      <c r="F131" s="890" t="s">
        <v>453</v>
      </c>
      <c r="G131" s="890" t="str">
        <f t="shared" si="135"/>
        <v>A</v>
      </c>
      <c r="H131" s="890"/>
      <c r="I131" s="890"/>
      <c r="J131" s="890"/>
      <c r="K131" s="890"/>
      <c r="L131" s="890" t="str">
        <f t="shared" si="136"/>
        <v>A</v>
      </c>
      <c r="M131" s="890" t="str">
        <f t="shared" si="136"/>
        <v>A</v>
      </c>
      <c r="N131" s="890" t="s">
        <v>453</v>
      </c>
      <c r="O131" s="890"/>
      <c r="P131" s="890" t="str">
        <f t="shared" si="137"/>
        <v>N</v>
      </c>
      <c r="Q131" s="890" t="str">
        <f t="shared" si="137"/>
        <v>A</v>
      </c>
      <c r="R131" s="890" t="str">
        <f t="shared" si="137"/>
        <v>A</v>
      </c>
      <c r="S131" s="890" t="str">
        <f t="shared" si="138"/>
        <v>A</v>
      </c>
      <c r="T131" s="890" t="str">
        <f t="shared" si="139"/>
        <v>A</v>
      </c>
      <c r="U131" s="890" t="str">
        <f t="shared" si="140"/>
        <v>A</v>
      </c>
      <c r="V131" s="890" t="str">
        <f t="shared" si="141"/>
        <v>A</v>
      </c>
      <c r="W131" s="890" t="str">
        <f t="shared" si="142"/>
        <v>A</v>
      </c>
      <c r="X131" s="890" t="str">
        <f t="shared" si="143"/>
        <v>A</v>
      </c>
      <c r="Y131" s="890" t="str">
        <f t="shared" si="144"/>
        <v>A</v>
      </c>
      <c r="Z131" s="890" t="str">
        <f t="shared" si="145"/>
        <v>A</v>
      </c>
      <c r="AA131" s="890" t="str">
        <f t="shared" si="146"/>
        <v>A</v>
      </c>
      <c r="AB131" s="890" t="str">
        <f t="shared" si="147"/>
        <v>A</v>
      </c>
      <c r="AC131" s="890" t="str">
        <f t="shared" si="148"/>
        <v>A</v>
      </c>
      <c r="AD131" s="891"/>
      <c r="AE131" s="884"/>
      <c r="AF131" s="885"/>
      <c r="AG131" s="886"/>
      <c r="AH131" s="887"/>
      <c r="AI131" s="888"/>
      <c r="AK131" s="252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4"/>
      <c r="AY131" s="254"/>
    </row>
    <row r="132" spans="2:51" x14ac:dyDescent="0.3">
      <c r="B132" s="1151"/>
      <c r="C132" s="766" t="s">
        <v>429</v>
      </c>
      <c r="D132" s="892" t="s">
        <v>453</v>
      </c>
      <c r="E132" s="890" t="s">
        <v>453</v>
      </c>
      <c r="F132" s="890" t="s">
        <v>453</v>
      </c>
      <c r="G132" s="890" t="str">
        <f t="shared" si="135"/>
        <v>N</v>
      </c>
      <c r="H132" s="890"/>
      <c r="I132" s="890"/>
      <c r="J132" s="890"/>
      <c r="K132" s="890"/>
      <c r="L132" s="890" t="str">
        <f t="shared" si="136"/>
        <v>N</v>
      </c>
      <c r="M132" s="890" t="str">
        <f t="shared" si="136"/>
        <v>N</v>
      </c>
      <c r="N132" s="890" t="s">
        <v>453</v>
      </c>
      <c r="O132" s="890"/>
      <c r="P132" s="890" t="str">
        <f t="shared" si="137"/>
        <v>N</v>
      </c>
      <c r="Q132" s="890" t="str">
        <f t="shared" si="137"/>
        <v>N</v>
      </c>
      <c r="R132" s="890" t="str">
        <f t="shared" si="137"/>
        <v>N</v>
      </c>
      <c r="S132" s="890" t="str">
        <f t="shared" si="138"/>
        <v>N</v>
      </c>
      <c r="T132" s="890" t="str">
        <f t="shared" si="139"/>
        <v>N</v>
      </c>
      <c r="U132" s="890" t="str">
        <f t="shared" si="140"/>
        <v>N</v>
      </c>
      <c r="V132" s="890" t="str">
        <f t="shared" si="141"/>
        <v>N</v>
      </c>
      <c r="W132" s="890" t="str">
        <f t="shared" si="142"/>
        <v>N</v>
      </c>
      <c r="X132" s="890" t="str">
        <f t="shared" si="143"/>
        <v>N</v>
      </c>
      <c r="Y132" s="890" t="str">
        <f t="shared" si="144"/>
        <v>N</v>
      </c>
      <c r="Z132" s="890" t="str">
        <f t="shared" si="145"/>
        <v>N</v>
      </c>
      <c r="AA132" s="890" t="str">
        <f t="shared" si="146"/>
        <v>N</v>
      </c>
      <c r="AB132" s="890" t="str">
        <f t="shared" si="147"/>
        <v>N</v>
      </c>
      <c r="AC132" s="890" t="str">
        <f t="shared" si="148"/>
        <v>N</v>
      </c>
      <c r="AD132" s="891"/>
      <c r="AE132" s="884"/>
      <c r="AF132" s="885"/>
      <c r="AG132" s="886"/>
      <c r="AH132" s="887"/>
      <c r="AI132" s="888"/>
      <c r="AK132" s="252"/>
      <c r="AL132" s="254"/>
      <c r="AM132" s="254"/>
      <c r="AN132" s="254"/>
      <c r="AO132" s="254"/>
      <c r="AP132" s="254"/>
      <c r="AQ132" s="254"/>
      <c r="AR132" s="254"/>
      <c r="AS132" s="254"/>
      <c r="AT132" s="254"/>
      <c r="AU132" s="254"/>
      <c r="AV132" s="254"/>
      <c r="AW132" s="254"/>
      <c r="AX132" s="254"/>
      <c r="AY132" s="254"/>
    </row>
    <row r="133" spans="2:51" x14ac:dyDescent="0.3">
      <c r="B133" s="1151"/>
      <c r="C133" s="770" t="s">
        <v>431</v>
      </c>
      <c r="D133" s="892" t="s">
        <v>453</v>
      </c>
      <c r="E133" s="890" t="s">
        <v>453</v>
      </c>
      <c r="F133" s="890" t="s">
        <v>453</v>
      </c>
      <c r="G133" s="890" t="str">
        <f t="shared" si="135"/>
        <v>N</v>
      </c>
      <c r="H133" s="890"/>
      <c r="I133" s="890"/>
      <c r="J133" s="890"/>
      <c r="K133" s="890"/>
      <c r="L133" s="890" t="str">
        <f t="shared" si="136"/>
        <v>A</v>
      </c>
      <c r="M133" s="890" t="str">
        <f t="shared" si="136"/>
        <v>N</v>
      </c>
      <c r="N133" s="890" t="s">
        <v>453</v>
      </c>
      <c r="O133" s="890"/>
      <c r="P133" s="890" t="str">
        <f t="shared" si="137"/>
        <v>N</v>
      </c>
      <c r="Q133" s="890" t="str">
        <f t="shared" si="137"/>
        <v>N</v>
      </c>
      <c r="R133" s="890" t="str">
        <f t="shared" si="137"/>
        <v>A</v>
      </c>
      <c r="S133" s="890" t="str">
        <f t="shared" si="138"/>
        <v>A</v>
      </c>
      <c r="T133" s="890" t="str">
        <f t="shared" si="139"/>
        <v>A</v>
      </c>
      <c r="U133" s="890" t="str">
        <f t="shared" si="140"/>
        <v>N</v>
      </c>
      <c r="V133" s="890" t="str">
        <f t="shared" si="141"/>
        <v>A</v>
      </c>
      <c r="W133" s="890" t="str">
        <f t="shared" si="142"/>
        <v>N</v>
      </c>
      <c r="X133" s="890" t="str">
        <f t="shared" si="143"/>
        <v>N</v>
      </c>
      <c r="Y133" s="890" t="str">
        <f t="shared" si="144"/>
        <v>A</v>
      </c>
      <c r="Z133" s="890" t="str">
        <f t="shared" si="145"/>
        <v>A</v>
      </c>
      <c r="AA133" s="890" t="str">
        <f t="shared" si="146"/>
        <v>A</v>
      </c>
      <c r="AB133" s="890" t="str">
        <f t="shared" si="147"/>
        <v>N</v>
      </c>
      <c r="AC133" s="890" t="str">
        <f t="shared" si="148"/>
        <v>A</v>
      </c>
      <c r="AD133" s="891"/>
      <c r="AE133" s="884"/>
      <c r="AF133" s="885"/>
      <c r="AG133" s="886"/>
      <c r="AH133" s="887"/>
      <c r="AI133" s="888"/>
      <c r="AK133" s="252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4"/>
      <c r="AV133" s="254"/>
      <c r="AW133" s="254"/>
      <c r="AX133" s="254"/>
      <c r="AY133" s="254"/>
    </row>
    <row r="134" spans="2:51" x14ac:dyDescent="0.3">
      <c r="B134" s="893"/>
      <c r="C134" s="894" t="s">
        <v>461</v>
      </c>
      <c r="D134" s="895">
        <v>0</v>
      </c>
      <c r="E134" s="896">
        <v>0</v>
      </c>
      <c r="F134" s="897">
        <v>0</v>
      </c>
      <c r="G134" s="897">
        <f t="shared" si="135"/>
        <v>0.25</v>
      </c>
      <c r="H134" s="897"/>
      <c r="I134" s="897"/>
      <c r="J134" s="897"/>
      <c r="K134" s="897"/>
      <c r="L134" s="897">
        <f t="shared" si="136"/>
        <v>0.2</v>
      </c>
      <c r="M134" s="897">
        <f t="shared" si="136"/>
        <v>0.25</v>
      </c>
      <c r="N134" s="897">
        <v>0</v>
      </c>
      <c r="O134" s="897"/>
      <c r="P134" s="897">
        <f t="shared" si="137"/>
        <v>0</v>
      </c>
      <c r="Q134" s="897">
        <f t="shared" si="137"/>
        <v>0.25</v>
      </c>
      <c r="R134" s="897">
        <f t="shared" si="137"/>
        <v>0.2</v>
      </c>
      <c r="S134" s="897">
        <f t="shared" si="138"/>
        <v>0.2</v>
      </c>
      <c r="T134" s="897">
        <f t="shared" si="139"/>
        <v>0.2</v>
      </c>
      <c r="U134" s="897">
        <f t="shared" si="140"/>
        <v>0.25</v>
      </c>
      <c r="V134" s="897">
        <f t="shared" si="141"/>
        <v>0.35</v>
      </c>
      <c r="W134" s="897">
        <f t="shared" ref="W134" si="149">W20</f>
        <v>0.25</v>
      </c>
      <c r="X134" s="897">
        <f t="shared" si="143"/>
        <v>0.25</v>
      </c>
      <c r="Y134" s="897">
        <f t="shared" si="144"/>
        <v>0.2</v>
      </c>
      <c r="Z134" s="897">
        <f t="shared" si="145"/>
        <v>0.2</v>
      </c>
      <c r="AA134" s="897">
        <f t="shared" si="146"/>
        <v>0.35</v>
      </c>
      <c r="AB134" s="897">
        <f t="shared" si="147"/>
        <v>0.25</v>
      </c>
      <c r="AC134" s="897">
        <f t="shared" si="148"/>
        <v>0.2</v>
      </c>
      <c r="AD134" s="898"/>
      <c r="AE134" s="899"/>
      <c r="AF134" s="900"/>
      <c r="AG134" s="901"/>
      <c r="AH134" s="901"/>
      <c r="AI134" s="902"/>
      <c r="AK134" s="252"/>
      <c r="AL134" s="254"/>
      <c r="AM134" s="254"/>
      <c r="AN134" s="254"/>
      <c r="AO134" s="254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</row>
    <row r="135" spans="2:51" ht="15" thickBot="1" x14ac:dyDescent="0.35">
      <c r="B135" s="839"/>
      <c r="C135" s="840" t="s">
        <v>535</v>
      </c>
      <c r="D135" s="841"/>
      <c r="E135" s="841"/>
      <c r="F135" s="841"/>
      <c r="G135" s="842"/>
      <c r="H135" s="842"/>
      <c r="I135" s="842"/>
      <c r="J135" s="842"/>
      <c r="K135" s="842"/>
      <c r="L135" s="842"/>
      <c r="M135" s="842"/>
      <c r="N135" s="842"/>
      <c r="O135" s="842"/>
      <c r="P135" s="842"/>
      <c r="Q135" s="842"/>
      <c r="R135" s="842"/>
      <c r="S135" s="842"/>
      <c r="T135" s="842"/>
      <c r="U135" s="842"/>
      <c r="V135" s="842"/>
      <c r="W135" s="842"/>
      <c r="X135" s="842"/>
      <c r="Y135" s="842"/>
      <c r="Z135" s="842"/>
      <c r="AA135" s="842"/>
      <c r="AB135" s="842"/>
      <c r="AC135" s="842"/>
      <c r="AD135" s="904"/>
      <c r="AE135" s="905"/>
      <c r="AF135" s="906">
        <f>'Procesy - AS IS'!AG35/(1+$AE64)-'Procesy - AS IS'!AG35</f>
        <v>25.694899204081622</v>
      </c>
      <c r="AG135" s="907">
        <f>'Procesy - AS IS'!AH35/(1+$AE64)-'Procesy - AS IS'!AH35</f>
        <v>8.9689742504813239</v>
      </c>
      <c r="AH135" s="907">
        <f>'Procesy - AS IS'!AI35/(1+$AE64)-'Procesy - AS IS'!AI35</f>
        <v>7.9993554125914486</v>
      </c>
      <c r="AI135" s="908">
        <f>'Procesy - AS IS'!AJ35/(1+$AE64)-'Procesy - AS IS'!AJ35</f>
        <v>1.4544282568348095</v>
      </c>
      <c r="AK135" s="252"/>
      <c r="AL135" s="254"/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</row>
    <row r="136" spans="2:51" ht="14.4" customHeight="1" x14ac:dyDescent="0.3">
      <c r="B136" s="756" t="str">
        <f>'Procesy - AS IS'!B36</f>
        <v>Zdroj 3</v>
      </c>
      <c r="C136" s="757" t="str">
        <f>'Procesy - AS IS'!C36</f>
        <v>Inšpekcia odpadového hospodárstva</v>
      </c>
      <c r="D136" s="872">
        <f>D137*$AF137/($AF136-$AF207)+D151*$AF137/($AF136-$AF207)+D165*$AF137/($AF136-$AF207)+D179*$AF137/($AF136-$AF207)+D193*$AF137/($AF136-$AF207)</f>
        <v>0</v>
      </c>
      <c r="E136" s="750">
        <f>E137*$AF137/($AF136-$AF207)+E151*$AF137/($AF136-$AF207)+E165*$AF137/($AF136-$AF207)+E179*$AF137/($AF136-$AF207)+E193*$AF137/($AF136-$AF207)</f>
        <v>0</v>
      </c>
      <c r="F136" s="750">
        <f>F137*$AF137/($AF136-$AF207)+F151*$AF137/($AF136-$AF207)+F165*$AF137/($AF136-$AF207)+F179*$AF137/($AF136-$AF207)+F193*$AF137/($AF136-$AF207)</f>
        <v>0</v>
      </c>
      <c r="G136" s="760">
        <f>G137*$AF137/($AF136-$AF207)+G151*$AF137/($AF136-$AF207)+G165*$AF137/($AF136-$AF207)+G179*$AF137/($AF136-$AF207)+G193*$AF137/($AF136-$AF207)</f>
        <v>-4.5752966804712649</v>
      </c>
      <c r="H136" s="753"/>
      <c r="I136" s="753"/>
      <c r="J136" s="753"/>
      <c r="K136" s="753"/>
      <c r="L136" s="760">
        <f>L137*$AF137/($AF136-$AF207)+L151*$AF137/($AF136-$AF207)+L165*$AF137/($AF136-$AF207)+L179*$AF137/($AF136-$AF207)+L193*$AF137/($AF136-$AF207)</f>
        <v>-9.3373401642270704E-2</v>
      </c>
      <c r="M136" s="760">
        <f>M137*$AF137/($AF136-$AF207)+M151*$AF137/($AF136-$AF207)+M165*$AF137/($AF136-$AF207)+M179*$AF137/($AF136-$AF207)+M193*$AF137/($AF136-$AF207)</f>
        <v>-0.49021035862192119</v>
      </c>
      <c r="N136" s="760">
        <f>N137*$AF137/($AF136-$AF207)+N151*$AF137/($AF136-$AF207)+N165*$AF137/($AF136-$AF207)+N179*$AF137/($AF136-$AF207)+N193*$AF137/($AF136-$AF207)</f>
        <v>0</v>
      </c>
      <c r="O136" s="750"/>
      <c r="P136" s="750">
        <f t="shared" ref="P136:AC136" si="150">P137*$AF137/($AF136-$AF207)+P151*$AF137/($AF136-$AF207)+P165*$AF137/($AF136-$AF207)+P179*$AF137/($AF136-$AF207)+P193*$AF137/($AF136-$AF207)</f>
        <v>0</v>
      </c>
      <c r="Q136" s="750">
        <f t="shared" si="150"/>
        <v>0</v>
      </c>
      <c r="R136" s="750">
        <f t="shared" si="150"/>
        <v>-4.040000337677057</v>
      </c>
      <c r="S136" s="750">
        <f t="shared" si="150"/>
        <v>-7.7530171112901076</v>
      </c>
      <c r="T136" s="750">
        <f t="shared" si="150"/>
        <v>-1.7518521341929871</v>
      </c>
      <c r="U136" s="750">
        <f t="shared" si="150"/>
        <v>-0.55974533563076212</v>
      </c>
      <c r="V136" s="750">
        <f t="shared" si="150"/>
        <v>-0.32680690574794746</v>
      </c>
      <c r="W136" s="750">
        <f t="shared" si="150"/>
        <v>-0.12350027754760927</v>
      </c>
      <c r="X136" s="750">
        <f t="shared" si="150"/>
        <v>0</v>
      </c>
      <c r="Y136" s="750">
        <f t="shared" si="150"/>
        <v>-1.206064182618686</v>
      </c>
      <c r="Z136" s="750">
        <f t="shared" si="150"/>
        <v>-8.3139519991160902E-3</v>
      </c>
      <c r="AA136" s="750">
        <f t="shared" si="150"/>
        <v>-2.7678996750960173E-2</v>
      </c>
      <c r="AB136" s="750">
        <f t="shared" si="150"/>
        <v>-0.21303440751332597</v>
      </c>
      <c r="AC136" s="750">
        <f t="shared" si="150"/>
        <v>-0.36613053898208925</v>
      </c>
      <c r="AD136" s="909">
        <f>SUM(AD137:AD193)</f>
        <v>-57.658348742585247</v>
      </c>
      <c r="AE136" s="874">
        <f>-SUM(AF137:AF206)/('Procesy - AS IS'!AG36+SUM(AF137:AF206))</f>
        <v>-0.14879521024256093</v>
      </c>
      <c r="AF136" s="910">
        <f>SUM(AF137:AF207)</f>
        <v>120.09132310659204</v>
      </c>
      <c r="AG136" s="911">
        <f>SUM(AG137:AG207)</f>
        <v>41.034927005455557</v>
      </c>
      <c r="AH136" s="911">
        <f>SUM(AH137:AH207)</f>
        <v>24.894156810225706</v>
      </c>
      <c r="AI136" s="912">
        <f>SUM(AI137:AI207)</f>
        <v>3.3601445855744627</v>
      </c>
      <c r="AK136" s="252"/>
      <c r="AL136" s="254"/>
      <c r="AM136" s="254"/>
      <c r="AN136" s="254"/>
      <c r="AO136" s="254"/>
      <c r="AP136" s="254"/>
      <c r="AQ136" s="254"/>
      <c r="AR136" s="254"/>
      <c r="AS136" s="254"/>
      <c r="AT136" s="254"/>
      <c r="AU136" s="254"/>
      <c r="AV136" s="254"/>
      <c r="AW136" s="254"/>
      <c r="AX136" s="254"/>
      <c r="AY136" s="254"/>
    </row>
    <row r="137" spans="2:51" ht="55.8" customHeight="1" x14ac:dyDescent="0.3">
      <c r="B137" s="808" t="str">
        <f>'Procesy - AS IS'!B37</f>
        <v>Meranie č. 10</v>
      </c>
      <c r="C137" s="769" t="str">
        <f>'Procesy - AS IS'!$C$37</f>
        <v>Jozef Gregor, EKO TRANS, Pezinok, prevádzka Pod gaštanmi, Bratislava, Kontrola pôvodcov a držiteľov odpadov, 4087/2018</v>
      </c>
      <c r="D137" s="872">
        <f>-'Procesy - AS IS'!D39*D150</f>
        <v>0</v>
      </c>
      <c r="E137" s="752">
        <f>-'Procesy - AS IS'!E39*E150</f>
        <v>0</v>
      </c>
      <c r="F137" s="752">
        <f>-'Procesy - AS IS'!F39*F150</f>
        <v>0</v>
      </c>
      <c r="G137" s="752">
        <f>-'Procesy - AS IS'!G39*G150</f>
        <v>-0.75</v>
      </c>
      <c r="H137" s="752" t="s">
        <v>523</v>
      </c>
      <c r="I137" s="752" t="s">
        <v>523</v>
      </c>
      <c r="J137" s="752" t="s">
        <v>523</v>
      </c>
      <c r="K137" s="752" t="s">
        <v>523</v>
      </c>
      <c r="L137" s="752">
        <f>-'Procesy - AS IS'!L39*L150</f>
        <v>-0.1</v>
      </c>
      <c r="M137" s="752">
        <f>-'Procesy - AS IS'!M39*M150</f>
        <v>-0.75</v>
      </c>
      <c r="N137" s="752">
        <f>-'Procesy - AS IS'!N39*N150</f>
        <v>0</v>
      </c>
      <c r="O137" s="752" t="s">
        <v>524</v>
      </c>
      <c r="P137" s="752">
        <f>-'Procesy - AS IS'!P39*P150</f>
        <v>0</v>
      </c>
      <c r="Q137" s="752">
        <f>-'Procesy - AS IS'!Q39*Q150</f>
        <v>0</v>
      </c>
      <c r="R137" s="752">
        <f>-'Procesy - AS IS'!R39*R150</f>
        <v>-1.4902212949345008</v>
      </c>
      <c r="S137" s="752">
        <f>-'Procesy - AS IS'!S39*S150</f>
        <v>-3.3097787050654994</v>
      </c>
      <c r="T137" s="752">
        <f>-'Procesy - AS IS'!T39*T150</f>
        <v>-0.99348086328966723</v>
      </c>
      <c r="U137" s="752">
        <f>-'Procesy - AS IS'!U39*U150</f>
        <v>-0.17238430755549475</v>
      </c>
      <c r="V137" s="752">
        <f>-'Procesy - AS IS'!V39*V150</f>
        <v>-0.17499999999999999</v>
      </c>
      <c r="W137" s="752">
        <f>-'Procesy - AS IS'!W39*W150</f>
        <v>-7.1005917159763315E-2</v>
      </c>
      <c r="X137" s="752">
        <f>-'Procesy - AS IS'!X39*X150</f>
        <v>0</v>
      </c>
      <c r="Y137" s="752">
        <f>-'Procesy - AS IS'!Y39*Y150</f>
        <v>-0.60591715976331362</v>
      </c>
      <c r="Z137" s="752">
        <f>-'Procesy - AS IS'!Z39*Z150</f>
        <v>-5.9171597633136093E-3</v>
      </c>
      <c r="AA137" s="752">
        <f>-'Procesy - AS IS'!AA39*AA150</f>
        <v>-2.0710059171597631E-2</v>
      </c>
      <c r="AB137" s="752">
        <f>-'Procesy - AS IS'!AB39*AB150</f>
        <v>-0.17751479289940827</v>
      </c>
      <c r="AC137" s="752">
        <f>-'Procesy - AS IS'!AC39*AC150</f>
        <v>-0.23668639053254437</v>
      </c>
      <c r="AD137" s="903">
        <f>SUM(D137:AC137)</f>
        <v>-8.8586166501351045</v>
      </c>
      <c r="AE137" s="880">
        <f>AD137/'Procesy - AS IS'!AD39</f>
        <v>-0.17733974337028491</v>
      </c>
      <c r="AF137" s="881">
        <f>'Procesy - AS IS'!AG39/(1+$AE137)-'Procesy - AS IS'!AG39</f>
        <v>36.431098242622454</v>
      </c>
      <c r="AG137" s="882">
        <f>'Procesy - AS IS'!AH39/(1+$AE137)-'Procesy - AS IS'!AH39</f>
        <v>11.310499666459762</v>
      </c>
      <c r="AH137" s="877">
        <f>'Procesy - AS IS'!AI39/(1+$AE137)-'Procesy - AS IS'!AI39</f>
        <v>6.8981961169462664</v>
      </c>
      <c r="AI137" s="878">
        <f>'Procesy - AS IS'!AJ39/(1+$AE137)-'Procesy - AS IS'!AJ39</f>
        <v>1.0778431432728537</v>
      </c>
      <c r="AK137" s="252"/>
      <c r="AL137" s="254"/>
      <c r="AM137" s="254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</row>
    <row r="138" spans="2:51" x14ac:dyDescent="0.3">
      <c r="B138" s="1150" t="s">
        <v>451</v>
      </c>
      <c r="C138" s="766" t="s">
        <v>409</v>
      </c>
      <c r="D138" s="892" t="s">
        <v>453</v>
      </c>
      <c r="E138" s="890" t="s">
        <v>453</v>
      </c>
      <c r="F138" s="890" t="s">
        <v>453</v>
      </c>
      <c r="G138" s="890" t="str">
        <f t="shared" ref="G138:G150" si="151">G50</f>
        <v>A</v>
      </c>
      <c r="H138" s="890"/>
      <c r="I138" s="890"/>
      <c r="J138" s="890"/>
      <c r="K138" s="890"/>
      <c r="L138" s="890" t="str">
        <f t="shared" ref="L138:L150" si="152">R80</f>
        <v>A</v>
      </c>
      <c r="M138" s="890" t="str">
        <f t="shared" ref="M138:M150" si="153">G138</f>
        <v>A</v>
      </c>
      <c r="N138" s="890" t="s">
        <v>453</v>
      </c>
      <c r="O138" s="890"/>
      <c r="P138" s="890" t="str">
        <f t="shared" ref="P138:P149" si="154">P7</f>
        <v>N</v>
      </c>
      <c r="Q138" s="890" t="str">
        <f t="shared" ref="Q138:Q150" si="155">G138</f>
        <v>A</v>
      </c>
      <c r="R138" s="890" t="str">
        <f t="shared" ref="R138:R150" si="156">R36</f>
        <v>A</v>
      </c>
      <c r="S138" s="890" t="str">
        <f t="shared" ref="S138:S150" si="157">R138</f>
        <v>A</v>
      </c>
      <c r="T138" s="890" t="str">
        <f t="shared" ref="T138:T150" si="158">R138</f>
        <v>A</v>
      </c>
      <c r="U138" s="890" t="str">
        <f t="shared" ref="U138:U150" si="159">G138</f>
        <v>A</v>
      </c>
      <c r="V138" s="890" t="str">
        <f t="shared" ref="V138:W149" si="160">V7</f>
        <v>A</v>
      </c>
      <c r="W138" s="890" t="str">
        <f t="shared" si="160"/>
        <v>A</v>
      </c>
      <c r="X138" s="890" t="str">
        <f t="shared" ref="X138:X150" si="161">G138</f>
        <v>A</v>
      </c>
      <c r="Y138" s="890" t="str">
        <f t="shared" ref="Y138:Y150" si="162">R138</f>
        <v>A</v>
      </c>
      <c r="Z138" s="890" t="str">
        <f t="shared" ref="Z138:Z150" si="163">R138</f>
        <v>A</v>
      </c>
      <c r="AA138" s="890" t="str">
        <f t="shared" ref="AA138:AA150" si="164">$V138</f>
        <v>A</v>
      </c>
      <c r="AB138" s="890" t="str">
        <f t="shared" ref="AB138:AB150" si="165">G138</f>
        <v>A</v>
      </c>
      <c r="AC138" s="890" t="str">
        <f t="shared" ref="AC138:AC150" si="166">R138</f>
        <v>A</v>
      </c>
      <c r="AD138" s="891"/>
      <c r="AE138" s="884"/>
      <c r="AF138" s="885"/>
      <c r="AG138" s="886"/>
      <c r="AH138" s="887"/>
      <c r="AI138" s="888"/>
      <c r="AK138" s="252"/>
      <c r="AL138" s="254"/>
      <c r="AM138" s="254"/>
      <c r="AN138" s="254"/>
      <c r="AO138" s="254"/>
      <c r="AP138" s="254"/>
      <c r="AQ138" s="254"/>
      <c r="AR138" s="254"/>
      <c r="AS138" s="254"/>
      <c r="AT138" s="254"/>
      <c r="AU138" s="254"/>
      <c r="AV138" s="254"/>
      <c r="AW138" s="254"/>
      <c r="AX138" s="254"/>
      <c r="AY138" s="254"/>
    </row>
    <row r="139" spans="2:51" x14ac:dyDescent="0.3">
      <c r="B139" s="1151"/>
      <c r="C139" s="766" t="s">
        <v>411</v>
      </c>
      <c r="D139" s="889" t="s">
        <v>453</v>
      </c>
      <c r="E139" s="890" t="s">
        <v>453</v>
      </c>
      <c r="F139" s="890" t="s">
        <v>453</v>
      </c>
      <c r="G139" s="890" t="str">
        <f t="shared" si="151"/>
        <v>N</v>
      </c>
      <c r="H139" s="890"/>
      <c r="I139" s="890"/>
      <c r="J139" s="890"/>
      <c r="K139" s="890"/>
      <c r="L139" s="890" t="str">
        <f t="shared" si="152"/>
        <v>N</v>
      </c>
      <c r="M139" s="890" t="str">
        <f t="shared" si="153"/>
        <v>N</v>
      </c>
      <c r="N139" s="890" t="s">
        <v>453</v>
      </c>
      <c r="O139" s="890"/>
      <c r="P139" s="890" t="str">
        <f t="shared" si="154"/>
        <v>N</v>
      </c>
      <c r="Q139" s="890" t="str">
        <f t="shared" si="155"/>
        <v>N</v>
      </c>
      <c r="R139" s="890" t="str">
        <f t="shared" si="156"/>
        <v>N</v>
      </c>
      <c r="S139" s="890" t="str">
        <f t="shared" si="157"/>
        <v>N</v>
      </c>
      <c r="T139" s="890" t="str">
        <f t="shared" si="158"/>
        <v>N</v>
      </c>
      <c r="U139" s="890" t="str">
        <f t="shared" si="159"/>
        <v>N</v>
      </c>
      <c r="V139" s="890" t="str">
        <f t="shared" si="160"/>
        <v>N</v>
      </c>
      <c r="W139" s="890" t="str">
        <f t="shared" si="160"/>
        <v>N</v>
      </c>
      <c r="X139" s="890" t="str">
        <f t="shared" si="161"/>
        <v>N</v>
      </c>
      <c r="Y139" s="890" t="str">
        <f t="shared" si="162"/>
        <v>N</v>
      </c>
      <c r="Z139" s="890" t="str">
        <f t="shared" si="163"/>
        <v>N</v>
      </c>
      <c r="AA139" s="890" t="str">
        <f t="shared" si="164"/>
        <v>N</v>
      </c>
      <c r="AB139" s="890" t="str">
        <f t="shared" si="165"/>
        <v>N</v>
      </c>
      <c r="AC139" s="890" t="str">
        <f t="shared" si="166"/>
        <v>N</v>
      </c>
      <c r="AD139" s="891"/>
      <c r="AE139" s="884"/>
      <c r="AF139" s="885"/>
      <c r="AG139" s="886"/>
      <c r="AH139" s="887"/>
      <c r="AI139" s="888"/>
      <c r="AK139" s="252"/>
      <c r="AL139" s="254"/>
      <c r="AM139" s="254"/>
      <c r="AN139" s="254"/>
      <c r="AO139" s="254"/>
      <c r="AP139" s="254"/>
      <c r="AQ139" s="254"/>
      <c r="AR139" s="254"/>
      <c r="AS139" s="254"/>
      <c r="AT139" s="254"/>
      <c r="AU139" s="254"/>
      <c r="AV139" s="254"/>
      <c r="AW139" s="254"/>
      <c r="AX139" s="254"/>
      <c r="AY139" s="254"/>
    </row>
    <row r="140" spans="2:51" x14ac:dyDescent="0.3">
      <c r="B140" s="1151"/>
      <c r="C140" s="766" t="s">
        <v>413</v>
      </c>
      <c r="D140" s="889" t="s">
        <v>453</v>
      </c>
      <c r="E140" s="890" t="s">
        <v>453</v>
      </c>
      <c r="F140" s="890" t="s">
        <v>453</v>
      </c>
      <c r="G140" s="890" t="str">
        <f t="shared" si="151"/>
        <v>N</v>
      </c>
      <c r="H140" s="890"/>
      <c r="I140" s="890"/>
      <c r="J140" s="890"/>
      <c r="K140" s="890"/>
      <c r="L140" s="890" t="str">
        <f t="shared" si="152"/>
        <v>N</v>
      </c>
      <c r="M140" s="890" t="str">
        <f t="shared" si="153"/>
        <v>N</v>
      </c>
      <c r="N140" s="890" t="s">
        <v>453</v>
      </c>
      <c r="O140" s="890"/>
      <c r="P140" s="890" t="str">
        <f t="shared" si="154"/>
        <v>N</v>
      </c>
      <c r="Q140" s="890" t="str">
        <f t="shared" si="155"/>
        <v>N</v>
      </c>
      <c r="R140" s="890" t="str">
        <f t="shared" si="156"/>
        <v>N</v>
      </c>
      <c r="S140" s="890" t="str">
        <f t="shared" si="157"/>
        <v>N</v>
      </c>
      <c r="T140" s="890" t="str">
        <f t="shared" si="158"/>
        <v>N</v>
      </c>
      <c r="U140" s="890" t="str">
        <f t="shared" si="159"/>
        <v>N</v>
      </c>
      <c r="V140" s="890" t="str">
        <f t="shared" si="160"/>
        <v>N</v>
      </c>
      <c r="W140" s="890" t="str">
        <f t="shared" si="160"/>
        <v>N</v>
      </c>
      <c r="X140" s="890" t="str">
        <f t="shared" si="161"/>
        <v>N</v>
      </c>
      <c r="Y140" s="890" t="str">
        <f t="shared" si="162"/>
        <v>N</v>
      </c>
      <c r="Z140" s="890" t="str">
        <f t="shared" si="163"/>
        <v>N</v>
      </c>
      <c r="AA140" s="890" t="str">
        <f t="shared" si="164"/>
        <v>N</v>
      </c>
      <c r="AB140" s="890" t="str">
        <f t="shared" si="165"/>
        <v>N</v>
      </c>
      <c r="AC140" s="890" t="str">
        <f t="shared" si="166"/>
        <v>N</v>
      </c>
      <c r="AD140" s="891"/>
      <c r="AE140" s="884"/>
      <c r="AF140" s="885"/>
      <c r="AG140" s="886"/>
      <c r="AH140" s="887"/>
      <c r="AI140" s="888"/>
      <c r="AK140" s="252"/>
      <c r="AL140" s="254"/>
      <c r="AM140" s="254"/>
      <c r="AN140" s="254"/>
      <c r="AO140" s="254"/>
      <c r="AP140" s="254"/>
      <c r="AQ140" s="254"/>
      <c r="AR140" s="254"/>
      <c r="AS140" s="254"/>
      <c r="AT140" s="254"/>
      <c r="AU140" s="254"/>
      <c r="AV140" s="254"/>
      <c r="AW140" s="254"/>
      <c r="AX140" s="254"/>
      <c r="AY140" s="254"/>
    </row>
    <row r="141" spans="2:51" x14ac:dyDescent="0.3">
      <c r="B141" s="1151"/>
      <c r="C141" s="766" t="s">
        <v>415</v>
      </c>
      <c r="D141" s="892" t="s">
        <v>453</v>
      </c>
      <c r="E141" s="890" t="s">
        <v>453</v>
      </c>
      <c r="F141" s="890" t="s">
        <v>453</v>
      </c>
      <c r="G141" s="890" t="str">
        <f t="shared" si="151"/>
        <v>N</v>
      </c>
      <c r="H141" s="890"/>
      <c r="I141" s="890"/>
      <c r="J141" s="890"/>
      <c r="K141" s="890"/>
      <c r="L141" s="890" t="str">
        <f t="shared" si="152"/>
        <v>N</v>
      </c>
      <c r="M141" s="890" t="str">
        <f t="shared" si="153"/>
        <v>N</v>
      </c>
      <c r="N141" s="890" t="s">
        <v>453</v>
      </c>
      <c r="O141" s="890"/>
      <c r="P141" s="890" t="str">
        <f t="shared" si="154"/>
        <v>N</v>
      </c>
      <c r="Q141" s="890" t="str">
        <f t="shared" si="155"/>
        <v>N</v>
      </c>
      <c r="R141" s="890" t="str">
        <f t="shared" si="156"/>
        <v>N</v>
      </c>
      <c r="S141" s="890" t="str">
        <f t="shared" si="157"/>
        <v>N</v>
      </c>
      <c r="T141" s="890" t="str">
        <f t="shared" si="158"/>
        <v>N</v>
      </c>
      <c r="U141" s="890" t="str">
        <f t="shared" si="159"/>
        <v>N</v>
      </c>
      <c r="V141" s="890" t="str">
        <f t="shared" si="160"/>
        <v>N</v>
      </c>
      <c r="W141" s="890" t="str">
        <f t="shared" si="160"/>
        <v>N</v>
      </c>
      <c r="X141" s="890" t="str">
        <f t="shared" si="161"/>
        <v>N</v>
      </c>
      <c r="Y141" s="890" t="str">
        <f t="shared" si="162"/>
        <v>N</v>
      </c>
      <c r="Z141" s="890" t="str">
        <f t="shared" si="163"/>
        <v>N</v>
      </c>
      <c r="AA141" s="890" t="str">
        <f t="shared" si="164"/>
        <v>N</v>
      </c>
      <c r="AB141" s="890" t="str">
        <f t="shared" si="165"/>
        <v>N</v>
      </c>
      <c r="AC141" s="890" t="str">
        <f t="shared" si="166"/>
        <v>N</v>
      </c>
      <c r="AD141" s="891"/>
      <c r="AE141" s="884"/>
      <c r="AF141" s="885"/>
      <c r="AG141" s="886"/>
      <c r="AH141" s="887"/>
      <c r="AI141" s="888"/>
      <c r="AK141" s="252"/>
      <c r="AL141" s="254"/>
      <c r="AM141" s="254"/>
      <c r="AN141" s="254"/>
      <c r="AO141" s="254"/>
      <c r="AP141" s="254"/>
      <c r="AQ141" s="254"/>
      <c r="AR141" s="254"/>
      <c r="AS141" s="254"/>
      <c r="AT141" s="254"/>
      <c r="AU141" s="254"/>
      <c r="AV141" s="254"/>
      <c r="AW141" s="254"/>
      <c r="AX141" s="254"/>
      <c r="AY141" s="254"/>
    </row>
    <row r="142" spans="2:51" x14ac:dyDescent="0.3">
      <c r="B142" s="1151"/>
      <c r="C142" s="766" t="s">
        <v>417</v>
      </c>
      <c r="D142" s="892" t="s">
        <v>453</v>
      </c>
      <c r="E142" s="890" t="s">
        <v>453</v>
      </c>
      <c r="F142" s="890" t="s">
        <v>453</v>
      </c>
      <c r="G142" s="890" t="str">
        <f t="shared" si="151"/>
        <v>A</v>
      </c>
      <c r="H142" s="890"/>
      <c r="I142" s="890"/>
      <c r="J142" s="890"/>
      <c r="K142" s="890"/>
      <c r="L142" s="890" t="str">
        <f t="shared" si="152"/>
        <v>A</v>
      </c>
      <c r="M142" s="890" t="str">
        <f t="shared" si="153"/>
        <v>A</v>
      </c>
      <c r="N142" s="890" t="s">
        <v>453</v>
      </c>
      <c r="O142" s="890"/>
      <c r="P142" s="890" t="str">
        <f t="shared" si="154"/>
        <v>N</v>
      </c>
      <c r="Q142" s="890" t="str">
        <f t="shared" si="155"/>
        <v>A</v>
      </c>
      <c r="R142" s="890" t="str">
        <f t="shared" si="156"/>
        <v>A</v>
      </c>
      <c r="S142" s="890" t="str">
        <f t="shared" si="157"/>
        <v>A</v>
      </c>
      <c r="T142" s="890" t="str">
        <f t="shared" si="158"/>
        <v>A</v>
      </c>
      <c r="U142" s="890" t="str">
        <f t="shared" si="159"/>
        <v>A</v>
      </c>
      <c r="V142" s="890" t="str">
        <f t="shared" si="160"/>
        <v>A</v>
      </c>
      <c r="W142" s="890" t="str">
        <f t="shared" si="160"/>
        <v>A</v>
      </c>
      <c r="X142" s="890" t="str">
        <f t="shared" si="161"/>
        <v>A</v>
      </c>
      <c r="Y142" s="890" t="str">
        <f t="shared" si="162"/>
        <v>A</v>
      </c>
      <c r="Z142" s="890" t="str">
        <f t="shared" si="163"/>
        <v>A</v>
      </c>
      <c r="AA142" s="890" t="str">
        <f t="shared" si="164"/>
        <v>A</v>
      </c>
      <c r="AB142" s="890" t="str">
        <f t="shared" si="165"/>
        <v>A</v>
      </c>
      <c r="AC142" s="890" t="str">
        <f t="shared" si="166"/>
        <v>A</v>
      </c>
      <c r="AD142" s="891"/>
      <c r="AE142" s="884"/>
      <c r="AF142" s="885"/>
      <c r="AG142" s="886"/>
      <c r="AH142" s="887"/>
      <c r="AI142" s="888"/>
      <c r="AK142" s="252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</row>
    <row r="143" spans="2:51" x14ac:dyDescent="0.3">
      <c r="B143" s="1151"/>
      <c r="C143" s="766" t="s">
        <v>419</v>
      </c>
      <c r="D143" s="892" t="s">
        <v>453</v>
      </c>
      <c r="E143" s="890" t="s">
        <v>453</v>
      </c>
      <c r="F143" s="890" t="s">
        <v>453</v>
      </c>
      <c r="G143" s="890" t="str">
        <f t="shared" si="151"/>
        <v>A</v>
      </c>
      <c r="H143" s="890"/>
      <c r="I143" s="890"/>
      <c r="J143" s="890"/>
      <c r="K143" s="890"/>
      <c r="L143" s="890" t="str">
        <f t="shared" si="152"/>
        <v>A</v>
      </c>
      <c r="M143" s="890" t="str">
        <f t="shared" si="153"/>
        <v>A</v>
      </c>
      <c r="N143" s="890" t="s">
        <v>453</v>
      </c>
      <c r="O143" s="890"/>
      <c r="P143" s="890" t="str">
        <f t="shared" si="154"/>
        <v>N</v>
      </c>
      <c r="Q143" s="890" t="str">
        <f t="shared" si="155"/>
        <v>A</v>
      </c>
      <c r="R143" s="890" t="str">
        <f t="shared" si="156"/>
        <v>A</v>
      </c>
      <c r="S143" s="890" t="str">
        <f t="shared" si="157"/>
        <v>A</v>
      </c>
      <c r="T143" s="890" t="str">
        <f t="shared" si="158"/>
        <v>A</v>
      </c>
      <c r="U143" s="890" t="str">
        <f t="shared" si="159"/>
        <v>A</v>
      </c>
      <c r="V143" s="890" t="str">
        <f t="shared" si="160"/>
        <v>A</v>
      </c>
      <c r="W143" s="890" t="str">
        <f t="shared" si="160"/>
        <v>A</v>
      </c>
      <c r="X143" s="890" t="str">
        <f t="shared" si="161"/>
        <v>A</v>
      </c>
      <c r="Y143" s="890" t="str">
        <f t="shared" si="162"/>
        <v>A</v>
      </c>
      <c r="Z143" s="890" t="str">
        <f t="shared" si="163"/>
        <v>A</v>
      </c>
      <c r="AA143" s="890" t="str">
        <f t="shared" si="164"/>
        <v>A</v>
      </c>
      <c r="AB143" s="890" t="str">
        <f t="shared" si="165"/>
        <v>A</v>
      </c>
      <c r="AC143" s="890" t="str">
        <f t="shared" si="166"/>
        <v>A</v>
      </c>
      <c r="AD143" s="891"/>
      <c r="AE143" s="884"/>
      <c r="AF143" s="885"/>
      <c r="AG143" s="886"/>
      <c r="AH143" s="887"/>
      <c r="AI143" s="888"/>
      <c r="AK143" s="252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54"/>
      <c r="AX143" s="254"/>
      <c r="AY143" s="254"/>
    </row>
    <row r="144" spans="2:51" x14ac:dyDescent="0.3">
      <c r="B144" s="1151"/>
      <c r="C144" s="766" t="s">
        <v>421</v>
      </c>
      <c r="D144" s="892" t="s">
        <v>453</v>
      </c>
      <c r="E144" s="890" t="s">
        <v>453</v>
      </c>
      <c r="F144" s="890" t="s">
        <v>453</v>
      </c>
      <c r="G144" s="890" t="str">
        <f t="shared" si="151"/>
        <v>A</v>
      </c>
      <c r="H144" s="890"/>
      <c r="I144" s="890"/>
      <c r="J144" s="890"/>
      <c r="K144" s="890"/>
      <c r="L144" s="890" t="str">
        <f t="shared" si="152"/>
        <v>N</v>
      </c>
      <c r="M144" s="890" t="str">
        <f t="shared" si="153"/>
        <v>A</v>
      </c>
      <c r="N144" s="890" t="s">
        <v>453</v>
      </c>
      <c r="O144" s="890"/>
      <c r="P144" s="890" t="str">
        <f t="shared" si="154"/>
        <v>N</v>
      </c>
      <c r="Q144" s="890" t="str">
        <f t="shared" si="155"/>
        <v>A</v>
      </c>
      <c r="R144" s="890" t="str">
        <f t="shared" si="156"/>
        <v>N</v>
      </c>
      <c r="S144" s="890" t="str">
        <f t="shared" si="157"/>
        <v>N</v>
      </c>
      <c r="T144" s="890" t="str">
        <f t="shared" si="158"/>
        <v>N</v>
      </c>
      <c r="U144" s="890" t="str">
        <f t="shared" si="159"/>
        <v>A</v>
      </c>
      <c r="V144" s="890" t="str">
        <f t="shared" si="160"/>
        <v>A</v>
      </c>
      <c r="W144" s="890" t="str">
        <f t="shared" si="160"/>
        <v>A</v>
      </c>
      <c r="X144" s="890" t="str">
        <f t="shared" si="161"/>
        <v>A</v>
      </c>
      <c r="Y144" s="890" t="str">
        <f t="shared" si="162"/>
        <v>N</v>
      </c>
      <c r="Z144" s="890" t="str">
        <f t="shared" si="163"/>
        <v>N</v>
      </c>
      <c r="AA144" s="890" t="str">
        <f t="shared" si="164"/>
        <v>A</v>
      </c>
      <c r="AB144" s="890" t="str">
        <f t="shared" si="165"/>
        <v>A</v>
      </c>
      <c r="AC144" s="890" t="str">
        <f t="shared" si="166"/>
        <v>N</v>
      </c>
      <c r="AD144" s="891"/>
      <c r="AE144" s="884"/>
      <c r="AF144" s="885"/>
      <c r="AG144" s="886"/>
      <c r="AH144" s="887"/>
      <c r="AI144" s="888"/>
      <c r="AK144" s="252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</row>
    <row r="145" spans="2:51" x14ac:dyDescent="0.3">
      <c r="B145" s="1151"/>
      <c r="C145" s="766" t="s">
        <v>423</v>
      </c>
      <c r="D145" s="892" t="s">
        <v>453</v>
      </c>
      <c r="E145" s="890" t="s">
        <v>453</v>
      </c>
      <c r="F145" s="890" t="s">
        <v>453</v>
      </c>
      <c r="G145" s="890" t="str">
        <f t="shared" si="151"/>
        <v>A</v>
      </c>
      <c r="H145" s="890"/>
      <c r="I145" s="890"/>
      <c r="J145" s="890"/>
      <c r="K145" s="890"/>
      <c r="L145" s="890" t="str">
        <f t="shared" si="152"/>
        <v>N</v>
      </c>
      <c r="M145" s="890" t="str">
        <f t="shared" si="153"/>
        <v>A</v>
      </c>
      <c r="N145" s="890" t="s">
        <v>453</v>
      </c>
      <c r="O145" s="890"/>
      <c r="P145" s="890" t="str">
        <f t="shared" si="154"/>
        <v>N</v>
      </c>
      <c r="Q145" s="890" t="str">
        <f t="shared" si="155"/>
        <v>A</v>
      </c>
      <c r="R145" s="890" t="str">
        <f t="shared" si="156"/>
        <v>N</v>
      </c>
      <c r="S145" s="890" t="str">
        <f t="shared" si="157"/>
        <v>N</v>
      </c>
      <c r="T145" s="890" t="str">
        <f t="shared" si="158"/>
        <v>N</v>
      </c>
      <c r="U145" s="890" t="str">
        <f t="shared" si="159"/>
        <v>A</v>
      </c>
      <c r="V145" s="890" t="str">
        <f t="shared" si="160"/>
        <v>A</v>
      </c>
      <c r="W145" s="890" t="str">
        <f t="shared" si="160"/>
        <v>A</v>
      </c>
      <c r="X145" s="890" t="str">
        <f t="shared" si="161"/>
        <v>A</v>
      </c>
      <c r="Y145" s="890" t="str">
        <f t="shared" si="162"/>
        <v>N</v>
      </c>
      <c r="Z145" s="890" t="str">
        <f t="shared" si="163"/>
        <v>N</v>
      </c>
      <c r="AA145" s="890" t="str">
        <f t="shared" si="164"/>
        <v>A</v>
      </c>
      <c r="AB145" s="890" t="str">
        <f t="shared" si="165"/>
        <v>A</v>
      </c>
      <c r="AC145" s="890" t="str">
        <f t="shared" si="166"/>
        <v>N</v>
      </c>
      <c r="AD145" s="891"/>
      <c r="AE145" s="884"/>
      <c r="AF145" s="885"/>
      <c r="AG145" s="886"/>
      <c r="AH145" s="887"/>
      <c r="AI145" s="888"/>
      <c r="AK145" s="252"/>
      <c r="AL145" s="254"/>
      <c r="AM145" s="254"/>
      <c r="AN145" s="254"/>
      <c r="AO145" s="254"/>
      <c r="AP145" s="254"/>
      <c r="AQ145" s="254"/>
      <c r="AR145" s="254"/>
      <c r="AS145" s="254"/>
      <c r="AT145" s="254"/>
      <c r="AU145" s="254"/>
      <c r="AV145" s="254"/>
      <c r="AW145" s="254"/>
      <c r="AX145" s="254"/>
      <c r="AY145" s="254"/>
    </row>
    <row r="146" spans="2:51" x14ac:dyDescent="0.3">
      <c r="B146" s="1151"/>
      <c r="C146" s="766" t="s">
        <v>425</v>
      </c>
      <c r="D146" s="892" t="s">
        <v>453</v>
      </c>
      <c r="E146" s="890" t="s">
        <v>453</v>
      </c>
      <c r="F146" s="890" t="s">
        <v>453</v>
      </c>
      <c r="G146" s="890" t="str">
        <f t="shared" si="151"/>
        <v>N</v>
      </c>
      <c r="H146" s="890"/>
      <c r="I146" s="890"/>
      <c r="J146" s="890"/>
      <c r="K146" s="890"/>
      <c r="L146" s="890" t="str">
        <f t="shared" si="152"/>
        <v>N</v>
      </c>
      <c r="M146" s="890" t="str">
        <f t="shared" si="153"/>
        <v>N</v>
      </c>
      <c r="N146" s="890" t="s">
        <v>453</v>
      </c>
      <c r="O146" s="890"/>
      <c r="P146" s="890" t="str">
        <f t="shared" si="154"/>
        <v>N</v>
      </c>
      <c r="Q146" s="890" t="str">
        <f t="shared" si="155"/>
        <v>N</v>
      </c>
      <c r="R146" s="890" t="str">
        <f t="shared" si="156"/>
        <v>N</v>
      </c>
      <c r="S146" s="890" t="str">
        <f t="shared" si="157"/>
        <v>N</v>
      </c>
      <c r="T146" s="890" t="str">
        <f t="shared" si="158"/>
        <v>N</v>
      </c>
      <c r="U146" s="890" t="str">
        <f t="shared" si="159"/>
        <v>N</v>
      </c>
      <c r="V146" s="890" t="str">
        <f t="shared" si="160"/>
        <v>A</v>
      </c>
      <c r="W146" s="890" t="str">
        <f t="shared" si="160"/>
        <v>N</v>
      </c>
      <c r="X146" s="890" t="str">
        <f t="shared" si="161"/>
        <v>N</v>
      </c>
      <c r="Y146" s="890" t="str">
        <f t="shared" si="162"/>
        <v>N</v>
      </c>
      <c r="Z146" s="890" t="str">
        <f t="shared" si="163"/>
        <v>N</v>
      </c>
      <c r="AA146" s="890" t="str">
        <f t="shared" si="164"/>
        <v>A</v>
      </c>
      <c r="AB146" s="890" t="str">
        <f t="shared" si="165"/>
        <v>N</v>
      </c>
      <c r="AC146" s="890" t="str">
        <f t="shared" si="166"/>
        <v>N</v>
      </c>
      <c r="AD146" s="891"/>
      <c r="AE146" s="884"/>
      <c r="AF146" s="885"/>
      <c r="AG146" s="886"/>
      <c r="AH146" s="887"/>
      <c r="AI146" s="888"/>
      <c r="AK146" s="252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</row>
    <row r="147" spans="2:51" x14ac:dyDescent="0.3">
      <c r="B147" s="1151"/>
      <c r="C147" s="766" t="s">
        <v>427</v>
      </c>
      <c r="D147" s="892" t="s">
        <v>453</v>
      </c>
      <c r="E147" s="890" t="s">
        <v>453</v>
      </c>
      <c r="F147" s="890" t="s">
        <v>453</v>
      </c>
      <c r="G147" s="890" t="str">
        <f t="shared" si="151"/>
        <v>A</v>
      </c>
      <c r="H147" s="890"/>
      <c r="I147" s="890"/>
      <c r="J147" s="890"/>
      <c r="K147" s="890"/>
      <c r="L147" s="890" t="str">
        <f t="shared" si="152"/>
        <v>A</v>
      </c>
      <c r="M147" s="890" t="str">
        <f t="shared" si="153"/>
        <v>A</v>
      </c>
      <c r="N147" s="890" t="s">
        <v>453</v>
      </c>
      <c r="O147" s="890"/>
      <c r="P147" s="890" t="str">
        <f t="shared" si="154"/>
        <v>N</v>
      </c>
      <c r="Q147" s="890" t="str">
        <f t="shared" si="155"/>
        <v>A</v>
      </c>
      <c r="R147" s="890" t="str">
        <f t="shared" si="156"/>
        <v>A</v>
      </c>
      <c r="S147" s="890" t="str">
        <f t="shared" si="157"/>
        <v>A</v>
      </c>
      <c r="T147" s="890" t="str">
        <f t="shared" si="158"/>
        <v>A</v>
      </c>
      <c r="U147" s="890" t="str">
        <f t="shared" si="159"/>
        <v>A</v>
      </c>
      <c r="V147" s="890" t="str">
        <f t="shared" si="160"/>
        <v>A</v>
      </c>
      <c r="W147" s="890" t="str">
        <f t="shared" si="160"/>
        <v>A</v>
      </c>
      <c r="X147" s="890" t="str">
        <f t="shared" si="161"/>
        <v>A</v>
      </c>
      <c r="Y147" s="890" t="str">
        <f t="shared" si="162"/>
        <v>A</v>
      </c>
      <c r="Z147" s="890" t="str">
        <f t="shared" si="163"/>
        <v>A</v>
      </c>
      <c r="AA147" s="890" t="str">
        <f t="shared" si="164"/>
        <v>A</v>
      </c>
      <c r="AB147" s="890" t="str">
        <f t="shared" si="165"/>
        <v>A</v>
      </c>
      <c r="AC147" s="890" t="str">
        <f t="shared" si="166"/>
        <v>A</v>
      </c>
      <c r="AD147" s="891"/>
      <c r="AE147" s="884"/>
      <c r="AF147" s="885"/>
      <c r="AG147" s="886"/>
      <c r="AH147" s="887"/>
      <c r="AI147" s="888"/>
      <c r="AK147" s="252"/>
      <c r="AL147" s="254"/>
      <c r="AM147" s="254"/>
      <c r="AN147" s="254"/>
      <c r="AO147" s="254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</row>
    <row r="148" spans="2:51" x14ac:dyDescent="0.3">
      <c r="B148" s="1151"/>
      <c r="C148" s="766" t="s">
        <v>429</v>
      </c>
      <c r="D148" s="892" t="s">
        <v>453</v>
      </c>
      <c r="E148" s="890" t="s">
        <v>453</v>
      </c>
      <c r="F148" s="890" t="s">
        <v>453</v>
      </c>
      <c r="G148" s="890" t="str">
        <f t="shared" si="151"/>
        <v>N</v>
      </c>
      <c r="H148" s="890"/>
      <c r="I148" s="890"/>
      <c r="J148" s="890"/>
      <c r="K148" s="890"/>
      <c r="L148" s="890" t="str">
        <f t="shared" si="152"/>
        <v>N</v>
      </c>
      <c r="M148" s="890" t="str">
        <f t="shared" si="153"/>
        <v>N</v>
      </c>
      <c r="N148" s="890" t="s">
        <v>453</v>
      </c>
      <c r="O148" s="890"/>
      <c r="P148" s="890" t="str">
        <f t="shared" si="154"/>
        <v>N</v>
      </c>
      <c r="Q148" s="890" t="str">
        <f t="shared" si="155"/>
        <v>N</v>
      </c>
      <c r="R148" s="890" t="str">
        <f t="shared" si="156"/>
        <v>N</v>
      </c>
      <c r="S148" s="890" t="str">
        <f t="shared" si="157"/>
        <v>N</v>
      </c>
      <c r="T148" s="890" t="str">
        <f t="shared" si="158"/>
        <v>N</v>
      </c>
      <c r="U148" s="890" t="str">
        <f t="shared" si="159"/>
        <v>N</v>
      </c>
      <c r="V148" s="890" t="str">
        <f t="shared" si="160"/>
        <v>N</v>
      </c>
      <c r="W148" s="890" t="str">
        <f t="shared" si="160"/>
        <v>N</v>
      </c>
      <c r="X148" s="890" t="str">
        <f t="shared" si="161"/>
        <v>N</v>
      </c>
      <c r="Y148" s="890" t="str">
        <f t="shared" si="162"/>
        <v>N</v>
      </c>
      <c r="Z148" s="890" t="str">
        <f t="shared" si="163"/>
        <v>N</v>
      </c>
      <c r="AA148" s="890" t="str">
        <f t="shared" si="164"/>
        <v>N</v>
      </c>
      <c r="AB148" s="890" t="str">
        <f t="shared" si="165"/>
        <v>N</v>
      </c>
      <c r="AC148" s="890" t="str">
        <f t="shared" si="166"/>
        <v>N</v>
      </c>
      <c r="AD148" s="891"/>
      <c r="AE148" s="884"/>
      <c r="AF148" s="885"/>
      <c r="AG148" s="886"/>
      <c r="AH148" s="887"/>
      <c r="AI148" s="888"/>
      <c r="AK148" s="252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</row>
    <row r="149" spans="2:51" x14ac:dyDescent="0.3">
      <c r="B149" s="1151"/>
      <c r="C149" s="770" t="s">
        <v>431</v>
      </c>
      <c r="D149" s="892" t="s">
        <v>453</v>
      </c>
      <c r="E149" s="890" t="s">
        <v>453</v>
      </c>
      <c r="F149" s="890" t="s">
        <v>453</v>
      </c>
      <c r="G149" s="890" t="str">
        <f t="shared" si="151"/>
        <v>N</v>
      </c>
      <c r="H149" s="890"/>
      <c r="I149" s="890"/>
      <c r="J149" s="890"/>
      <c r="K149" s="890"/>
      <c r="L149" s="890" t="str">
        <f t="shared" si="152"/>
        <v>A</v>
      </c>
      <c r="M149" s="890" t="str">
        <f t="shared" si="153"/>
        <v>N</v>
      </c>
      <c r="N149" s="890" t="s">
        <v>453</v>
      </c>
      <c r="O149" s="890"/>
      <c r="P149" s="890" t="str">
        <f t="shared" si="154"/>
        <v>N</v>
      </c>
      <c r="Q149" s="890" t="str">
        <f t="shared" si="155"/>
        <v>N</v>
      </c>
      <c r="R149" s="890" t="str">
        <f t="shared" si="156"/>
        <v>A</v>
      </c>
      <c r="S149" s="890" t="str">
        <f t="shared" si="157"/>
        <v>A</v>
      </c>
      <c r="T149" s="890" t="str">
        <f t="shared" si="158"/>
        <v>A</v>
      </c>
      <c r="U149" s="890" t="str">
        <f t="shared" si="159"/>
        <v>N</v>
      </c>
      <c r="V149" s="890" t="str">
        <f t="shared" si="160"/>
        <v>A</v>
      </c>
      <c r="W149" s="890" t="str">
        <f t="shared" si="160"/>
        <v>N</v>
      </c>
      <c r="X149" s="890" t="str">
        <f t="shared" si="161"/>
        <v>N</v>
      </c>
      <c r="Y149" s="890" t="str">
        <f t="shared" si="162"/>
        <v>A</v>
      </c>
      <c r="Z149" s="890" t="str">
        <f t="shared" si="163"/>
        <v>A</v>
      </c>
      <c r="AA149" s="890" t="str">
        <f t="shared" si="164"/>
        <v>A</v>
      </c>
      <c r="AB149" s="890" t="str">
        <f t="shared" si="165"/>
        <v>N</v>
      </c>
      <c r="AC149" s="890" t="str">
        <f t="shared" si="166"/>
        <v>A</v>
      </c>
      <c r="AD149" s="891"/>
      <c r="AE149" s="884"/>
      <c r="AF149" s="885"/>
      <c r="AG149" s="886"/>
      <c r="AH149" s="887"/>
      <c r="AI149" s="888"/>
      <c r="AK149" s="252"/>
      <c r="AL149" s="254"/>
      <c r="AM149" s="254"/>
      <c r="AN149" s="254"/>
      <c r="AO149" s="254"/>
      <c r="AP149" s="254"/>
      <c r="AQ149" s="254"/>
      <c r="AR149" s="254"/>
      <c r="AS149" s="254"/>
      <c r="AT149" s="254"/>
      <c r="AU149" s="254"/>
      <c r="AV149" s="254"/>
      <c r="AW149" s="254"/>
      <c r="AX149" s="254"/>
      <c r="AY149" s="254"/>
    </row>
    <row r="150" spans="2:51" x14ac:dyDescent="0.3">
      <c r="B150" s="893"/>
      <c r="C150" s="894" t="s">
        <v>461</v>
      </c>
      <c r="D150" s="895">
        <v>0</v>
      </c>
      <c r="E150" s="896">
        <v>0</v>
      </c>
      <c r="F150" s="897">
        <v>0</v>
      </c>
      <c r="G150" s="897">
        <f t="shared" si="151"/>
        <v>0.25</v>
      </c>
      <c r="H150" s="897"/>
      <c r="I150" s="897"/>
      <c r="J150" s="897"/>
      <c r="K150" s="897"/>
      <c r="L150" s="897">
        <f t="shared" si="152"/>
        <v>0.2</v>
      </c>
      <c r="M150" s="897">
        <f t="shared" si="153"/>
        <v>0.25</v>
      </c>
      <c r="N150" s="897">
        <v>0</v>
      </c>
      <c r="O150" s="897"/>
      <c r="P150" s="897">
        <f t="shared" ref="P150" si="167">P20</f>
        <v>0</v>
      </c>
      <c r="Q150" s="897">
        <f t="shared" si="155"/>
        <v>0.25</v>
      </c>
      <c r="R150" s="897">
        <f t="shared" si="156"/>
        <v>0.2</v>
      </c>
      <c r="S150" s="897">
        <f t="shared" si="157"/>
        <v>0.2</v>
      </c>
      <c r="T150" s="897">
        <f t="shared" si="158"/>
        <v>0.2</v>
      </c>
      <c r="U150" s="897">
        <f t="shared" si="159"/>
        <v>0.25</v>
      </c>
      <c r="V150" s="897">
        <f t="shared" ref="V150:W150" si="168">V20</f>
        <v>0.35</v>
      </c>
      <c r="W150" s="897">
        <f t="shared" si="168"/>
        <v>0.25</v>
      </c>
      <c r="X150" s="897">
        <f t="shared" si="161"/>
        <v>0.25</v>
      </c>
      <c r="Y150" s="897">
        <f t="shared" si="162"/>
        <v>0.2</v>
      </c>
      <c r="Z150" s="897">
        <f t="shared" si="163"/>
        <v>0.2</v>
      </c>
      <c r="AA150" s="897">
        <f t="shared" si="164"/>
        <v>0.35</v>
      </c>
      <c r="AB150" s="897">
        <f t="shared" si="165"/>
        <v>0.25</v>
      </c>
      <c r="AC150" s="897">
        <f t="shared" si="166"/>
        <v>0.2</v>
      </c>
      <c r="AD150" s="898"/>
      <c r="AE150" s="899"/>
      <c r="AF150" s="900"/>
      <c r="AG150" s="901"/>
      <c r="AH150" s="901"/>
      <c r="AI150" s="902"/>
      <c r="AK150" s="252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4"/>
      <c r="AX150" s="254"/>
      <c r="AY150" s="254"/>
    </row>
    <row r="151" spans="2:51" ht="58.2" customHeight="1" x14ac:dyDescent="0.3">
      <c r="B151" s="256" t="str">
        <f>'Procesy - AS IS'!B40</f>
        <v>Meranie č. 11</v>
      </c>
      <c r="C151" s="749" t="str">
        <f>'Procesy - AS IS'!$C$40</f>
        <v>Alfafin Plus, s.r.o., prevádzka Lehnice, Kontrola prevádzkovateľov zariadení na zber odpadov, 5566/2018
8159/2018</v>
      </c>
      <c r="D151" s="872">
        <f>-'Procesy - AS IS'!D42*D164</f>
        <v>0</v>
      </c>
      <c r="E151" s="752">
        <f>-'Procesy - AS IS'!E42*E164</f>
        <v>0</v>
      </c>
      <c r="F151" s="752">
        <f>-'Procesy - AS IS'!F42*F164</f>
        <v>0</v>
      </c>
      <c r="G151" s="752">
        <f>-'Procesy - AS IS'!G42*G164</f>
        <v>-0.75</v>
      </c>
      <c r="H151" s="752" t="s">
        <v>523</v>
      </c>
      <c r="I151" s="752" t="s">
        <v>523</v>
      </c>
      <c r="J151" s="752" t="s">
        <v>523</v>
      </c>
      <c r="K151" s="752" t="s">
        <v>523</v>
      </c>
      <c r="L151" s="752">
        <f>-'Procesy - AS IS'!L42*L164</f>
        <v>0</v>
      </c>
      <c r="M151" s="752">
        <f>-'Procesy - AS IS'!M42*M164</f>
        <v>0</v>
      </c>
      <c r="N151" s="752">
        <f>-'Procesy - AS IS'!N42*N164</f>
        <v>0</v>
      </c>
      <c r="O151" s="752" t="s">
        <v>524</v>
      </c>
      <c r="P151" s="752">
        <f>-'Procesy - AS IS'!P42*P164</f>
        <v>0</v>
      </c>
      <c r="Q151" s="752">
        <f>-'Procesy - AS IS'!Q42*Q164</f>
        <v>0</v>
      </c>
      <c r="R151" s="752">
        <f>-'Procesy - AS IS'!R42*R164</f>
        <v>-1.2438278741168916</v>
      </c>
      <c r="S151" s="752">
        <f>-'Procesy - AS IS'!S42*S164</f>
        <v>-1.9561721258831086</v>
      </c>
      <c r="T151" s="752">
        <f>-'Procesy - AS IS'!T42*T164</f>
        <v>-1.2438278741168916</v>
      </c>
      <c r="U151" s="752">
        <f>-'Procesy - AS IS'!U42*U164</f>
        <v>-0.15282594733461785</v>
      </c>
      <c r="V151" s="752">
        <f>-'Procesy - AS IS'!V42*V164</f>
        <v>-0.17499999999999999</v>
      </c>
      <c r="W151" s="752">
        <f>-'Procesy - AS IS'!W42*W164</f>
        <v>-9.166666666666666E-2</v>
      </c>
      <c r="X151" s="752">
        <f>-'Procesy - AS IS'!X42*X164</f>
        <v>0</v>
      </c>
      <c r="Y151" s="752">
        <f>-'Procesy - AS IS'!Y42*Y164</f>
        <v>-0.78222222222222226</v>
      </c>
      <c r="Z151" s="752">
        <f>-'Procesy - AS IS'!Z42*Z164</f>
        <v>-4.4444444444444444E-3</v>
      </c>
      <c r="AA151" s="752">
        <f>-'Procesy - AS IS'!AA42*AA164</f>
        <v>-3.8888888888888888E-3</v>
      </c>
      <c r="AB151" s="752">
        <f>-'Procesy - AS IS'!AB42*AB164</f>
        <v>-0.13333333333333333</v>
      </c>
      <c r="AC151" s="752">
        <f>-'Procesy - AS IS'!AC42*AC164</f>
        <v>-0.17777777777777781</v>
      </c>
      <c r="AD151" s="903">
        <f>SUM(D151:AC151)</f>
        <v>-6.7149871547848425</v>
      </c>
      <c r="AE151" s="880">
        <f>AD151/'Procesy - AS IS'!AD42</f>
        <v>-0.19712985012434645</v>
      </c>
      <c r="AF151" s="881">
        <f>'Procesy - AS IS'!AG42/(1+$AE151)-'Procesy - AS IS'!AG42</f>
        <v>11.048914020491964</v>
      </c>
      <c r="AG151" s="882">
        <f>'Procesy - AS IS'!AH42/(1+$AE151)-'Procesy - AS IS'!AH42</f>
        <v>4.2946710116902622</v>
      </c>
      <c r="AH151" s="877">
        <f>'Procesy - AS IS'!AI42/(1+$AE151)-'Procesy - AS IS'!AI42</f>
        <v>2.7008456494535906</v>
      </c>
      <c r="AI151" s="878">
        <f>'Procesy - AS IS'!AJ42/(1+$AE151)-'Procesy - AS IS'!AJ42</f>
        <v>0.24553142267759909</v>
      </c>
      <c r="AK151" s="252"/>
      <c r="AL151" s="254"/>
      <c r="AM151" s="254"/>
      <c r="AN151" s="254"/>
      <c r="AO151" s="254"/>
      <c r="AP151" s="254"/>
      <c r="AQ151" s="254"/>
      <c r="AR151" s="254"/>
      <c r="AS151" s="254"/>
      <c r="AT151" s="254"/>
      <c r="AU151" s="254"/>
      <c r="AV151" s="254"/>
      <c r="AW151" s="254"/>
      <c r="AX151" s="254"/>
      <c r="AY151" s="254"/>
    </row>
    <row r="152" spans="2:51" x14ac:dyDescent="0.3">
      <c r="B152" s="1150" t="s">
        <v>451</v>
      </c>
      <c r="C152" s="766" t="s">
        <v>409</v>
      </c>
      <c r="D152" s="771" t="s">
        <v>453</v>
      </c>
      <c r="E152" s="772" t="s">
        <v>453</v>
      </c>
      <c r="F152" s="890" t="s">
        <v>453</v>
      </c>
      <c r="G152" s="890" t="str">
        <f t="shared" ref="G152:G164" si="169">G138</f>
        <v>A</v>
      </c>
      <c r="H152" s="890"/>
      <c r="I152" s="890"/>
      <c r="J152" s="890"/>
      <c r="K152" s="890"/>
      <c r="L152" s="890" t="str">
        <f t="shared" ref="L152:M164" si="170">L138</f>
        <v>A</v>
      </c>
      <c r="M152" s="890" t="str">
        <f t="shared" si="170"/>
        <v>A</v>
      </c>
      <c r="N152" s="890" t="s">
        <v>453</v>
      </c>
      <c r="O152" s="890"/>
      <c r="P152" s="890" t="str">
        <f t="shared" ref="P152:R164" si="171">P138</f>
        <v>N</v>
      </c>
      <c r="Q152" s="890" t="str">
        <f t="shared" si="171"/>
        <v>A</v>
      </c>
      <c r="R152" s="890" t="str">
        <f t="shared" si="171"/>
        <v>A</v>
      </c>
      <c r="S152" s="890" t="str">
        <f t="shared" ref="S152:S164" si="172">R152</f>
        <v>A</v>
      </c>
      <c r="T152" s="890" t="str">
        <f t="shared" ref="T152:T164" si="173">R152</f>
        <v>A</v>
      </c>
      <c r="U152" s="890" t="str">
        <f t="shared" ref="U152:U164" si="174">G152</f>
        <v>A</v>
      </c>
      <c r="V152" s="890" t="str">
        <f t="shared" ref="V152:V164" si="175">V138</f>
        <v>A</v>
      </c>
      <c r="W152" s="890" t="str">
        <f t="shared" ref="W152:W163" si="176">W7</f>
        <v>A</v>
      </c>
      <c r="X152" s="890" t="str">
        <f t="shared" ref="X152:X164" si="177">G152</f>
        <v>A</v>
      </c>
      <c r="Y152" s="890" t="str">
        <f t="shared" ref="Y152:Y164" si="178">R152</f>
        <v>A</v>
      </c>
      <c r="Z152" s="890" t="str">
        <f t="shared" ref="Z152:Z164" si="179">R152</f>
        <v>A</v>
      </c>
      <c r="AA152" s="890" t="str">
        <f t="shared" ref="AA152:AA164" si="180">$V152</f>
        <v>A</v>
      </c>
      <c r="AB152" s="890" t="str">
        <f t="shared" ref="AB152:AB164" si="181">G152</f>
        <v>A</v>
      </c>
      <c r="AC152" s="890" t="str">
        <f t="shared" ref="AC152:AC164" si="182">R152</f>
        <v>A</v>
      </c>
      <c r="AD152" s="891"/>
      <c r="AE152" s="884"/>
      <c r="AF152" s="885"/>
      <c r="AG152" s="886"/>
      <c r="AH152" s="887"/>
      <c r="AI152" s="888"/>
      <c r="AK152" s="252"/>
      <c r="AL152" s="254"/>
      <c r="AM152" s="254"/>
      <c r="AN152" s="254"/>
      <c r="AO152" s="254"/>
      <c r="AP152" s="254"/>
      <c r="AQ152" s="254"/>
      <c r="AR152" s="254"/>
      <c r="AS152" s="254"/>
      <c r="AT152" s="254"/>
      <c r="AU152" s="254"/>
      <c r="AV152" s="254"/>
      <c r="AW152" s="254"/>
      <c r="AX152" s="254"/>
      <c r="AY152" s="254"/>
    </row>
    <row r="153" spans="2:51" x14ac:dyDescent="0.3">
      <c r="B153" s="1151"/>
      <c r="C153" s="766" t="s">
        <v>411</v>
      </c>
      <c r="D153" s="889" t="s">
        <v>453</v>
      </c>
      <c r="E153" s="890" t="s">
        <v>453</v>
      </c>
      <c r="F153" s="890" t="s">
        <v>453</v>
      </c>
      <c r="G153" s="890" t="str">
        <f t="shared" si="169"/>
        <v>N</v>
      </c>
      <c r="H153" s="890"/>
      <c r="I153" s="890"/>
      <c r="J153" s="890"/>
      <c r="K153" s="890"/>
      <c r="L153" s="890" t="str">
        <f t="shared" si="170"/>
        <v>N</v>
      </c>
      <c r="M153" s="890" t="str">
        <f t="shared" si="170"/>
        <v>N</v>
      </c>
      <c r="N153" s="890" t="s">
        <v>453</v>
      </c>
      <c r="O153" s="890"/>
      <c r="P153" s="890" t="str">
        <f t="shared" si="171"/>
        <v>N</v>
      </c>
      <c r="Q153" s="890" t="str">
        <f t="shared" si="171"/>
        <v>N</v>
      </c>
      <c r="R153" s="890" t="str">
        <f t="shared" si="171"/>
        <v>N</v>
      </c>
      <c r="S153" s="890" t="str">
        <f t="shared" si="172"/>
        <v>N</v>
      </c>
      <c r="T153" s="890" t="str">
        <f t="shared" si="173"/>
        <v>N</v>
      </c>
      <c r="U153" s="890" t="str">
        <f t="shared" si="174"/>
        <v>N</v>
      </c>
      <c r="V153" s="890" t="str">
        <f t="shared" si="175"/>
        <v>N</v>
      </c>
      <c r="W153" s="890" t="str">
        <f t="shared" si="176"/>
        <v>N</v>
      </c>
      <c r="X153" s="890" t="str">
        <f t="shared" si="177"/>
        <v>N</v>
      </c>
      <c r="Y153" s="890" t="str">
        <f t="shared" si="178"/>
        <v>N</v>
      </c>
      <c r="Z153" s="890" t="str">
        <f t="shared" si="179"/>
        <v>N</v>
      </c>
      <c r="AA153" s="890" t="str">
        <f t="shared" si="180"/>
        <v>N</v>
      </c>
      <c r="AB153" s="890" t="str">
        <f t="shared" si="181"/>
        <v>N</v>
      </c>
      <c r="AC153" s="890" t="str">
        <f t="shared" si="182"/>
        <v>N</v>
      </c>
      <c r="AD153" s="891"/>
      <c r="AE153" s="884"/>
      <c r="AF153" s="885"/>
      <c r="AG153" s="886"/>
      <c r="AH153" s="887"/>
      <c r="AI153" s="888"/>
      <c r="AK153" s="252"/>
      <c r="AL153" s="254"/>
      <c r="AM153" s="254"/>
      <c r="AN153" s="254"/>
      <c r="AO153" s="254"/>
      <c r="AP153" s="254"/>
      <c r="AQ153" s="254"/>
      <c r="AR153" s="254"/>
      <c r="AS153" s="254"/>
      <c r="AT153" s="254"/>
      <c r="AU153" s="254"/>
      <c r="AV153" s="254"/>
      <c r="AW153" s="254"/>
      <c r="AX153" s="254"/>
      <c r="AY153" s="254"/>
    </row>
    <row r="154" spans="2:51" x14ac:dyDescent="0.3">
      <c r="B154" s="1151"/>
      <c r="C154" s="766" t="s">
        <v>413</v>
      </c>
      <c r="D154" s="889" t="s">
        <v>453</v>
      </c>
      <c r="E154" s="890" t="s">
        <v>453</v>
      </c>
      <c r="F154" s="890" t="s">
        <v>453</v>
      </c>
      <c r="G154" s="890" t="str">
        <f t="shared" si="169"/>
        <v>N</v>
      </c>
      <c r="H154" s="890"/>
      <c r="I154" s="890"/>
      <c r="J154" s="890"/>
      <c r="K154" s="890"/>
      <c r="L154" s="890" t="str">
        <f t="shared" si="170"/>
        <v>N</v>
      </c>
      <c r="M154" s="890" t="str">
        <f t="shared" si="170"/>
        <v>N</v>
      </c>
      <c r="N154" s="890" t="s">
        <v>453</v>
      </c>
      <c r="O154" s="890"/>
      <c r="P154" s="890" t="str">
        <f t="shared" si="171"/>
        <v>N</v>
      </c>
      <c r="Q154" s="890" t="str">
        <f t="shared" si="171"/>
        <v>N</v>
      </c>
      <c r="R154" s="890" t="str">
        <f t="shared" si="171"/>
        <v>N</v>
      </c>
      <c r="S154" s="890" t="str">
        <f t="shared" si="172"/>
        <v>N</v>
      </c>
      <c r="T154" s="890" t="str">
        <f t="shared" si="173"/>
        <v>N</v>
      </c>
      <c r="U154" s="890" t="str">
        <f t="shared" si="174"/>
        <v>N</v>
      </c>
      <c r="V154" s="890" t="str">
        <f t="shared" si="175"/>
        <v>N</v>
      </c>
      <c r="W154" s="890" t="str">
        <f t="shared" si="176"/>
        <v>N</v>
      </c>
      <c r="X154" s="890" t="str">
        <f t="shared" si="177"/>
        <v>N</v>
      </c>
      <c r="Y154" s="890" t="str">
        <f t="shared" si="178"/>
        <v>N</v>
      </c>
      <c r="Z154" s="890" t="str">
        <f t="shared" si="179"/>
        <v>N</v>
      </c>
      <c r="AA154" s="890" t="str">
        <f t="shared" si="180"/>
        <v>N</v>
      </c>
      <c r="AB154" s="890" t="str">
        <f t="shared" si="181"/>
        <v>N</v>
      </c>
      <c r="AC154" s="890" t="str">
        <f t="shared" si="182"/>
        <v>N</v>
      </c>
      <c r="AD154" s="891"/>
      <c r="AE154" s="884"/>
      <c r="AF154" s="885"/>
      <c r="AG154" s="886"/>
      <c r="AH154" s="887"/>
      <c r="AI154" s="888"/>
      <c r="AK154" s="252"/>
      <c r="AL154" s="254"/>
      <c r="AM154" s="254"/>
      <c r="AN154" s="254"/>
      <c r="AO154" s="254"/>
      <c r="AP154" s="254"/>
      <c r="AQ154" s="254"/>
      <c r="AR154" s="254"/>
      <c r="AS154" s="254"/>
      <c r="AT154" s="254"/>
      <c r="AU154" s="254"/>
      <c r="AV154" s="254"/>
      <c r="AW154" s="254"/>
      <c r="AX154" s="254"/>
      <c r="AY154" s="254"/>
    </row>
    <row r="155" spans="2:51" x14ac:dyDescent="0.3">
      <c r="B155" s="1151"/>
      <c r="C155" s="766" t="s">
        <v>415</v>
      </c>
      <c r="D155" s="892" t="s">
        <v>453</v>
      </c>
      <c r="E155" s="890" t="s">
        <v>453</v>
      </c>
      <c r="F155" s="890" t="s">
        <v>453</v>
      </c>
      <c r="G155" s="890" t="str">
        <f t="shared" si="169"/>
        <v>N</v>
      </c>
      <c r="H155" s="890"/>
      <c r="I155" s="890"/>
      <c r="J155" s="890"/>
      <c r="K155" s="890"/>
      <c r="L155" s="890" t="str">
        <f t="shared" si="170"/>
        <v>N</v>
      </c>
      <c r="M155" s="890" t="str">
        <f t="shared" si="170"/>
        <v>N</v>
      </c>
      <c r="N155" s="890" t="s">
        <v>453</v>
      </c>
      <c r="O155" s="890"/>
      <c r="P155" s="890" t="str">
        <f t="shared" si="171"/>
        <v>N</v>
      </c>
      <c r="Q155" s="890" t="str">
        <f t="shared" si="171"/>
        <v>N</v>
      </c>
      <c r="R155" s="890" t="str">
        <f t="shared" si="171"/>
        <v>N</v>
      </c>
      <c r="S155" s="890" t="str">
        <f t="shared" si="172"/>
        <v>N</v>
      </c>
      <c r="T155" s="890" t="str">
        <f t="shared" si="173"/>
        <v>N</v>
      </c>
      <c r="U155" s="890" t="str">
        <f t="shared" si="174"/>
        <v>N</v>
      </c>
      <c r="V155" s="890" t="str">
        <f t="shared" si="175"/>
        <v>N</v>
      </c>
      <c r="W155" s="890" t="str">
        <f t="shared" si="176"/>
        <v>N</v>
      </c>
      <c r="X155" s="890" t="str">
        <f t="shared" si="177"/>
        <v>N</v>
      </c>
      <c r="Y155" s="890" t="str">
        <f t="shared" si="178"/>
        <v>N</v>
      </c>
      <c r="Z155" s="890" t="str">
        <f t="shared" si="179"/>
        <v>N</v>
      </c>
      <c r="AA155" s="890" t="str">
        <f t="shared" si="180"/>
        <v>N</v>
      </c>
      <c r="AB155" s="890" t="str">
        <f t="shared" si="181"/>
        <v>N</v>
      </c>
      <c r="AC155" s="890" t="str">
        <f t="shared" si="182"/>
        <v>N</v>
      </c>
      <c r="AD155" s="891"/>
      <c r="AE155" s="884"/>
      <c r="AF155" s="885"/>
      <c r="AG155" s="886"/>
      <c r="AH155" s="887"/>
      <c r="AI155" s="888"/>
      <c r="AK155" s="252"/>
      <c r="AL155" s="254"/>
      <c r="AM155" s="254"/>
      <c r="AN155" s="254"/>
      <c r="AO155" s="254"/>
      <c r="AP155" s="254"/>
      <c r="AQ155" s="254"/>
      <c r="AR155" s="254"/>
      <c r="AS155" s="254"/>
      <c r="AT155" s="254"/>
      <c r="AU155" s="254"/>
      <c r="AV155" s="254"/>
      <c r="AW155" s="254"/>
      <c r="AX155" s="254"/>
      <c r="AY155" s="254"/>
    </row>
    <row r="156" spans="2:51" x14ac:dyDescent="0.3">
      <c r="B156" s="1151"/>
      <c r="C156" s="766" t="s">
        <v>417</v>
      </c>
      <c r="D156" s="892" t="s">
        <v>453</v>
      </c>
      <c r="E156" s="890" t="s">
        <v>453</v>
      </c>
      <c r="F156" s="890" t="s">
        <v>453</v>
      </c>
      <c r="G156" s="890" t="str">
        <f t="shared" si="169"/>
        <v>A</v>
      </c>
      <c r="H156" s="890"/>
      <c r="I156" s="890"/>
      <c r="J156" s="890"/>
      <c r="K156" s="890"/>
      <c r="L156" s="890" t="str">
        <f t="shared" si="170"/>
        <v>A</v>
      </c>
      <c r="M156" s="890" t="str">
        <f t="shared" si="170"/>
        <v>A</v>
      </c>
      <c r="N156" s="890" t="s">
        <v>453</v>
      </c>
      <c r="O156" s="890"/>
      <c r="P156" s="890" t="str">
        <f t="shared" si="171"/>
        <v>N</v>
      </c>
      <c r="Q156" s="890" t="str">
        <f t="shared" si="171"/>
        <v>A</v>
      </c>
      <c r="R156" s="890" t="str">
        <f t="shared" si="171"/>
        <v>A</v>
      </c>
      <c r="S156" s="890" t="str">
        <f t="shared" si="172"/>
        <v>A</v>
      </c>
      <c r="T156" s="890" t="str">
        <f t="shared" si="173"/>
        <v>A</v>
      </c>
      <c r="U156" s="890" t="str">
        <f t="shared" si="174"/>
        <v>A</v>
      </c>
      <c r="V156" s="890" t="str">
        <f t="shared" si="175"/>
        <v>A</v>
      </c>
      <c r="W156" s="890" t="str">
        <f t="shared" si="176"/>
        <v>A</v>
      </c>
      <c r="X156" s="890" t="str">
        <f t="shared" si="177"/>
        <v>A</v>
      </c>
      <c r="Y156" s="890" t="str">
        <f t="shared" si="178"/>
        <v>A</v>
      </c>
      <c r="Z156" s="890" t="str">
        <f t="shared" si="179"/>
        <v>A</v>
      </c>
      <c r="AA156" s="890" t="str">
        <f t="shared" si="180"/>
        <v>A</v>
      </c>
      <c r="AB156" s="890" t="str">
        <f t="shared" si="181"/>
        <v>A</v>
      </c>
      <c r="AC156" s="890" t="str">
        <f t="shared" si="182"/>
        <v>A</v>
      </c>
      <c r="AD156" s="891"/>
      <c r="AE156" s="884"/>
      <c r="AF156" s="885"/>
      <c r="AG156" s="886"/>
      <c r="AH156" s="887"/>
      <c r="AI156" s="888"/>
      <c r="AK156" s="252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</row>
    <row r="157" spans="2:51" x14ac:dyDescent="0.3">
      <c r="B157" s="1151"/>
      <c r="C157" s="766" t="s">
        <v>419</v>
      </c>
      <c r="D157" s="892" t="s">
        <v>453</v>
      </c>
      <c r="E157" s="890" t="s">
        <v>453</v>
      </c>
      <c r="F157" s="890" t="s">
        <v>453</v>
      </c>
      <c r="G157" s="890" t="str">
        <f t="shared" si="169"/>
        <v>A</v>
      </c>
      <c r="H157" s="890"/>
      <c r="I157" s="890"/>
      <c r="J157" s="890"/>
      <c r="K157" s="890"/>
      <c r="L157" s="890" t="str">
        <f t="shared" si="170"/>
        <v>A</v>
      </c>
      <c r="M157" s="890" t="str">
        <f t="shared" si="170"/>
        <v>A</v>
      </c>
      <c r="N157" s="890" t="s">
        <v>453</v>
      </c>
      <c r="O157" s="890"/>
      <c r="P157" s="890" t="str">
        <f t="shared" si="171"/>
        <v>N</v>
      </c>
      <c r="Q157" s="890" t="str">
        <f t="shared" si="171"/>
        <v>A</v>
      </c>
      <c r="R157" s="890" t="str">
        <f t="shared" si="171"/>
        <v>A</v>
      </c>
      <c r="S157" s="890" t="str">
        <f t="shared" si="172"/>
        <v>A</v>
      </c>
      <c r="T157" s="890" t="str">
        <f t="shared" si="173"/>
        <v>A</v>
      </c>
      <c r="U157" s="890" t="str">
        <f t="shared" si="174"/>
        <v>A</v>
      </c>
      <c r="V157" s="890" t="str">
        <f t="shared" si="175"/>
        <v>A</v>
      </c>
      <c r="W157" s="890" t="str">
        <f t="shared" si="176"/>
        <v>A</v>
      </c>
      <c r="X157" s="890" t="str">
        <f t="shared" si="177"/>
        <v>A</v>
      </c>
      <c r="Y157" s="890" t="str">
        <f t="shared" si="178"/>
        <v>A</v>
      </c>
      <c r="Z157" s="890" t="str">
        <f t="shared" si="179"/>
        <v>A</v>
      </c>
      <c r="AA157" s="890" t="str">
        <f t="shared" si="180"/>
        <v>A</v>
      </c>
      <c r="AB157" s="890" t="str">
        <f t="shared" si="181"/>
        <v>A</v>
      </c>
      <c r="AC157" s="890" t="str">
        <f t="shared" si="182"/>
        <v>A</v>
      </c>
      <c r="AD157" s="891"/>
      <c r="AE157" s="884"/>
      <c r="AF157" s="885"/>
      <c r="AG157" s="886"/>
      <c r="AH157" s="887"/>
      <c r="AI157" s="888"/>
      <c r="AK157" s="252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</row>
    <row r="158" spans="2:51" x14ac:dyDescent="0.3">
      <c r="B158" s="1151"/>
      <c r="C158" s="766" t="s">
        <v>421</v>
      </c>
      <c r="D158" s="892" t="s">
        <v>453</v>
      </c>
      <c r="E158" s="890" t="s">
        <v>453</v>
      </c>
      <c r="F158" s="890" t="s">
        <v>453</v>
      </c>
      <c r="G158" s="890" t="str">
        <f t="shared" si="169"/>
        <v>A</v>
      </c>
      <c r="H158" s="890"/>
      <c r="I158" s="890"/>
      <c r="J158" s="890"/>
      <c r="K158" s="890"/>
      <c r="L158" s="890" t="str">
        <f t="shared" si="170"/>
        <v>N</v>
      </c>
      <c r="M158" s="890" t="str">
        <f t="shared" si="170"/>
        <v>A</v>
      </c>
      <c r="N158" s="890" t="s">
        <v>453</v>
      </c>
      <c r="O158" s="890"/>
      <c r="P158" s="890" t="str">
        <f t="shared" si="171"/>
        <v>N</v>
      </c>
      <c r="Q158" s="890" t="str">
        <f t="shared" si="171"/>
        <v>A</v>
      </c>
      <c r="R158" s="890" t="str">
        <f t="shared" si="171"/>
        <v>N</v>
      </c>
      <c r="S158" s="890" t="str">
        <f t="shared" si="172"/>
        <v>N</v>
      </c>
      <c r="T158" s="890" t="str">
        <f t="shared" si="173"/>
        <v>N</v>
      </c>
      <c r="U158" s="890" t="str">
        <f t="shared" si="174"/>
        <v>A</v>
      </c>
      <c r="V158" s="890" t="str">
        <f t="shared" si="175"/>
        <v>A</v>
      </c>
      <c r="W158" s="890" t="str">
        <f t="shared" si="176"/>
        <v>A</v>
      </c>
      <c r="X158" s="890" t="str">
        <f t="shared" si="177"/>
        <v>A</v>
      </c>
      <c r="Y158" s="890" t="str">
        <f t="shared" si="178"/>
        <v>N</v>
      </c>
      <c r="Z158" s="890" t="str">
        <f t="shared" si="179"/>
        <v>N</v>
      </c>
      <c r="AA158" s="890" t="str">
        <f t="shared" si="180"/>
        <v>A</v>
      </c>
      <c r="AB158" s="890" t="str">
        <f t="shared" si="181"/>
        <v>A</v>
      </c>
      <c r="AC158" s="890" t="str">
        <f t="shared" si="182"/>
        <v>N</v>
      </c>
      <c r="AD158" s="891"/>
      <c r="AE158" s="884"/>
      <c r="AF158" s="885"/>
      <c r="AG158" s="886"/>
      <c r="AH158" s="887"/>
      <c r="AI158" s="888"/>
      <c r="AK158" s="252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</row>
    <row r="159" spans="2:51" x14ac:dyDescent="0.3">
      <c r="B159" s="1151"/>
      <c r="C159" s="766" t="s">
        <v>423</v>
      </c>
      <c r="D159" s="892" t="s">
        <v>453</v>
      </c>
      <c r="E159" s="890" t="s">
        <v>453</v>
      </c>
      <c r="F159" s="890" t="s">
        <v>453</v>
      </c>
      <c r="G159" s="890" t="str">
        <f t="shared" si="169"/>
        <v>A</v>
      </c>
      <c r="H159" s="890"/>
      <c r="I159" s="890"/>
      <c r="J159" s="890"/>
      <c r="K159" s="890"/>
      <c r="L159" s="890" t="str">
        <f t="shared" si="170"/>
        <v>N</v>
      </c>
      <c r="M159" s="890" t="str">
        <f t="shared" si="170"/>
        <v>A</v>
      </c>
      <c r="N159" s="890" t="s">
        <v>453</v>
      </c>
      <c r="O159" s="890"/>
      <c r="P159" s="890" t="str">
        <f t="shared" si="171"/>
        <v>N</v>
      </c>
      <c r="Q159" s="890" t="str">
        <f t="shared" si="171"/>
        <v>A</v>
      </c>
      <c r="R159" s="890" t="str">
        <f t="shared" si="171"/>
        <v>N</v>
      </c>
      <c r="S159" s="890" t="str">
        <f t="shared" si="172"/>
        <v>N</v>
      </c>
      <c r="T159" s="890" t="str">
        <f t="shared" si="173"/>
        <v>N</v>
      </c>
      <c r="U159" s="890" t="str">
        <f t="shared" si="174"/>
        <v>A</v>
      </c>
      <c r="V159" s="890" t="str">
        <f t="shared" si="175"/>
        <v>A</v>
      </c>
      <c r="W159" s="890" t="str">
        <f t="shared" si="176"/>
        <v>A</v>
      </c>
      <c r="X159" s="890" t="str">
        <f t="shared" si="177"/>
        <v>A</v>
      </c>
      <c r="Y159" s="890" t="str">
        <f t="shared" si="178"/>
        <v>N</v>
      </c>
      <c r="Z159" s="890" t="str">
        <f t="shared" si="179"/>
        <v>N</v>
      </c>
      <c r="AA159" s="890" t="str">
        <f t="shared" si="180"/>
        <v>A</v>
      </c>
      <c r="AB159" s="890" t="str">
        <f t="shared" si="181"/>
        <v>A</v>
      </c>
      <c r="AC159" s="890" t="str">
        <f t="shared" si="182"/>
        <v>N</v>
      </c>
      <c r="AD159" s="891"/>
      <c r="AE159" s="884"/>
      <c r="AF159" s="885"/>
      <c r="AG159" s="886"/>
      <c r="AH159" s="887"/>
      <c r="AI159" s="888"/>
      <c r="AK159" s="252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</row>
    <row r="160" spans="2:51" x14ac:dyDescent="0.3">
      <c r="B160" s="1151"/>
      <c r="C160" s="766" t="s">
        <v>425</v>
      </c>
      <c r="D160" s="892" t="s">
        <v>453</v>
      </c>
      <c r="E160" s="890" t="s">
        <v>453</v>
      </c>
      <c r="F160" s="890" t="s">
        <v>453</v>
      </c>
      <c r="G160" s="890" t="str">
        <f t="shared" si="169"/>
        <v>N</v>
      </c>
      <c r="H160" s="890"/>
      <c r="I160" s="890"/>
      <c r="J160" s="890"/>
      <c r="K160" s="890"/>
      <c r="L160" s="890" t="str">
        <f t="shared" si="170"/>
        <v>N</v>
      </c>
      <c r="M160" s="890" t="str">
        <f t="shared" si="170"/>
        <v>N</v>
      </c>
      <c r="N160" s="890" t="s">
        <v>453</v>
      </c>
      <c r="O160" s="890"/>
      <c r="P160" s="890" t="str">
        <f t="shared" si="171"/>
        <v>N</v>
      </c>
      <c r="Q160" s="890" t="str">
        <f t="shared" si="171"/>
        <v>N</v>
      </c>
      <c r="R160" s="890" t="str">
        <f t="shared" si="171"/>
        <v>N</v>
      </c>
      <c r="S160" s="890" t="str">
        <f t="shared" si="172"/>
        <v>N</v>
      </c>
      <c r="T160" s="890" t="str">
        <f t="shared" si="173"/>
        <v>N</v>
      </c>
      <c r="U160" s="890" t="str">
        <f t="shared" si="174"/>
        <v>N</v>
      </c>
      <c r="V160" s="890" t="str">
        <f t="shared" si="175"/>
        <v>A</v>
      </c>
      <c r="W160" s="890" t="str">
        <f t="shared" si="176"/>
        <v>N</v>
      </c>
      <c r="X160" s="890" t="str">
        <f t="shared" si="177"/>
        <v>N</v>
      </c>
      <c r="Y160" s="890" t="str">
        <f t="shared" si="178"/>
        <v>N</v>
      </c>
      <c r="Z160" s="890" t="str">
        <f t="shared" si="179"/>
        <v>N</v>
      </c>
      <c r="AA160" s="890" t="str">
        <f t="shared" si="180"/>
        <v>A</v>
      </c>
      <c r="AB160" s="890" t="str">
        <f t="shared" si="181"/>
        <v>N</v>
      </c>
      <c r="AC160" s="890" t="str">
        <f t="shared" si="182"/>
        <v>N</v>
      </c>
      <c r="AD160" s="891"/>
      <c r="AE160" s="884"/>
      <c r="AF160" s="885"/>
      <c r="AG160" s="886"/>
      <c r="AH160" s="887"/>
      <c r="AI160" s="888"/>
      <c r="AK160" s="252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</row>
    <row r="161" spans="2:51" x14ac:dyDescent="0.3">
      <c r="B161" s="1151"/>
      <c r="C161" s="766" t="s">
        <v>427</v>
      </c>
      <c r="D161" s="892" t="s">
        <v>453</v>
      </c>
      <c r="E161" s="890" t="s">
        <v>453</v>
      </c>
      <c r="F161" s="890" t="s">
        <v>453</v>
      </c>
      <c r="G161" s="890" t="str">
        <f t="shared" si="169"/>
        <v>A</v>
      </c>
      <c r="H161" s="890"/>
      <c r="I161" s="890"/>
      <c r="J161" s="890"/>
      <c r="K161" s="890"/>
      <c r="L161" s="890" t="str">
        <f t="shared" si="170"/>
        <v>A</v>
      </c>
      <c r="M161" s="890" t="str">
        <f t="shared" si="170"/>
        <v>A</v>
      </c>
      <c r="N161" s="890" t="s">
        <v>453</v>
      </c>
      <c r="O161" s="890"/>
      <c r="P161" s="890" t="str">
        <f t="shared" si="171"/>
        <v>N</v>
      </c>
      <c r="Q161" s="890" t="str">
        <f t="shared" si="171"/>
        <v>A</v>
      </c>
      <c r="R161" s="890" t="str">
        <f t="shared" si="171"/>
        <v>A</v>
      </c>
      <c r="S161" s="890" t="str">
        <f t="shared" si="172"/>
        <v>A</v>
      </c>
      <c r="T161" s="890" t="str">
        <f t="shared" si="173"/>
        <v>A</v>
      </c>
      <c r="U161" s="890" t="str">
        <f t="shared" si="174"/>
        <v>A</v>
      </c>
      <c r="V161" s="890" t="str">
        <f t="shared" si="175"/>
        <v>A</v>
      </c>
      <c r="W161" s="890" t="str">
        <f t="shared" si="176"/>
        <v>A</v>
      </c>
      <c r="X161" s="890" t="str">
        <f t="shared" si="177"/>
        <v>A</v>
      </c>
      <c r="Y161" s="890" t="str">
        <f t="shared" si="178"/>
        <v>A</v>
      </c>
      <c r="Z161" s="890" t="str">
        <f t="shared" si="179"/>
        <v>A</v>
      </c>
      <c r="AA161" s="890" t="str">
        <f t="shared" si="180"/>
        <v>A</v>
      </c>
      <c r="AB161" s="890" t="str">
        <f t="shared" si="181"/>
        <v>A</v>
      </c>
      <c r="AC161" s="890" t="str">
        <f t="shared" si="182"/>
        <v>A</v>
      </c>
      <c r="AD161" s="891"/>
      <c r="AE161" s="884"/>
      <c r="AF161" s="885"/>
      <c r="AG161" s="886"/>
      <c r="AH161" s="887"/>
      <c r="AI161" s="888"/>
      <c r="AK161" s="252"/>
      <c r="AL161" s="254"/>
      <c r="AM161" s="254"/>
      <c r="AN161" s="254"/>
      <c r="AO161" s="254"/>
      <c r="AP161" s="254"/>
      <c r="AQ161" s="254"/>
      <c r="AR161" s="254"/>
      <c r="AS161" s="254"/>
      <c r="AT161" s="254"/>
      <c r="AU161" s="254"/>
      <c r="AV161" s="254"/>
      <c r="AW161" s="254"/>
      <c r="AX161" s="254"/>
      <c r="AY161" s="254"/>
    </row>
    <row r="162" spans="2:51" x14ac:dyDescent="0.3">
      <c r="B162" s="1151"/>
      <c r="C162" s="766" t="s">
        <v>429</v>
      </c>
      <c r="D162" s="892" t="s">
        <v>453</v>
      </c>
      <c r="E162" s="890" t="s">
        <v>453</v>
      </c>
      <c r="F162" s="890" t="s">
        <v>453</v>
      </c>
      <c r="G162" s="890" t="str">
        <f t="shared" si="169"/>
        <v>N</v>
      </c>
      <c r="H162" s="890"/>
      <c r="I162" s="890"/>
      <c r="J162" s="890"/>
      <c r="K162" s="890"/>
      <c r="L162" s="890" t="str">
        <f t="shared" si="170"/>
        <v>N</v>
      </c>
      <c r="M162" s="890" t="str">
        <f t="shared" si="170"/>
        <v>N</v>
      </c>
      <c r="N162" s="890" t="s">
        <v>453</v>
      </c>
      <c r="O162" s="890"/>
      <c r="P162" s="890" t="str">
        <f t="shared" si="171"/>
        <v>N</v>
      </c>
      <c r="Q162" s="890" t="str">
        <f t="shared" si="171"/>
        <v>N</v>
      </c>
      <c r="R162" s="890" t="str">
        <f t="shared" si="171"/>
        <v>N</v>
      </c>
      <c r="S162" s="890" t="str">
        <f t="shared" si="172"/>
        <v>N</v>
      </c>
      <c r="T162" s="890" t="str">
        <f t="shared" si="173"/>
        <v>N</v>
      </c>
      <c r="U162" s="890" t="str">
        <f t="shared" si="174"/>
        <v>N</v>
      </c>
      <c r="V162" s="890" t="str">
        <f t="shared" si="175"/>
        <v>N</v>
      </c>
      <c r="W162" s="890" t="str">
        <f t="shared" si="176"/>
        <v>N</v>
      </c>
      <c r="X162" s="890" t="str">
        <f t="shared" si="177"/>
        <v>N</v>
      </c>
      <c r="Y162" s="890" t="str">
        <f t="shared" si="178"/>
        <v>N</v>
      </c>
      <c r="Z162" s="890" t="str">
        <f t="shared" si="179"/>
        <v>N</v>
      </c>
      <c r="AA162" s="890" t="str">
        <f t="shared" si="180"/>
        <v>N</v>
      </c>
      <c r="AB162" s="890" t="str">
        <f t="shared" si="181"/>
        <v>N</v>
      </c>
      <c r="AC162" s="890" t="str">
        <f t="shared" si="182"/>
        <v>N</v>
      </c>
      <c r="AD162" s="891"/>
      <c r="AE162" s="884"/>
      <c r="AF162" s="885"/>
      <c r="AG162" s="886"/>
      <c r="AH162" s="887"/>
      <c r="AI162" s="888"/>
      <c r="AK162" s="252"/>
      <c r="AL162" s="254"/>
      <c r="AM162" s="254"/>
      <c r="AN162" s="254"/>
      <c r="AO162" s="254"/>
      <c r="AP162" s="254"/>
      <c r="AQ162" s="254"/>
      <c r="AR162" s="254"/>
      <c r="AS162" s="254"/>
      <c r="AT162" s="254"/>
      <c r="AU162" s="254"/>
      <c r="AV162" s="254"/>
      <c r="AW162" s="254"/>
      <c r="AX162" s="254"/>
      <c r="AY162" s="254"/>
    </row>
    <row r="163" spans="2:51" x14ac:dyDescent="0.3">
      <c r="B163" s="1151"/>
      <c r="C163" s="770" t="s">
        <v>431</v>
      </c>
      <c r="D163" s="892" t="s">
        <v>453</v>
      </c>
      <c r="E163" s="890" t="s">
        <v>453</v>
      </c>
      <c r="F163" s="890" t="s">
        <v>453</v>
      </c>
      <c r="G163" s="890" t="str">
        <f t="shared" si="169"/>
        <v>N</v>
      </c>
      <c r="H163" s="890"/>
      <c r="I163" s="890"/>
      <c r="J163" s="890"/>
      <c r="K163" s="890"/>
      <c r="L163" s="890" t="str">
        <f t="shared" si="170"/>
        <v>A</v>
      </c>
      <c r="M163" s="890" t="str">
        <f t="shared" si="170"/>
        <v>N</v>
      </c>
      <c r="N163" s="890" t="s">
        <v>453</v>
      </c>
      <c r="O163" s="890"/>
      <c r="P163" s="890" t="str">
        <f t="shared" si="171"/>
        <v>N</v>
      </c>
      <c r="Q163" s="890" t="str">
        <f t="shared" si="171"/>
        <v>N</v>
      </c>
      <c r="R163" s="890" t="str">
        <f t="shared" si="171"/>
        <v>A</v>
      </c>
      <c r="S163" s="890" t="str">
        <f t="shared" si="172"/>
        <v>A</v>
      </c>
      <c r="T163" s="890" t="str">
        <f t="shared" si="173"/>
        <v>A</v>
      </c>
      <c r="U163" s="890" t="str">
        <f t="shared" si="174"/>
        <v>N</v>
      </c>
      <c r="V163" s="890" t="str">
        <f t="shared" si="175"/>
        <v>A</v>
      </c>
      <c r="W163" s="890" t="str">
        <f t="shared" si="176"/>
        <v>N</v>
      </c>
      <c r="X163" s="890" t="str">
        <f t="shared" si="177"/>
        <v>N</v>
      </c>
      <c r="Y163" s="890" t="str">
        <f t="shared" si="178"/>
        <v>A</v>
      </c>
      <c r="Z163" s="890" t="str">
        <f t="shared" si="179"/>
        <v>A</v>
      </c>
      <c r="AA163" s="890" t="str">
        <f t="shared" si="180"/>
        <v>A</v>
      </c>
      <c r="AB163" s="890" t="str">
        <f t="shared" si="181"/>
        <v>N</v>
      </c>
      <c r="AC163" s="890" t="str">
        <f t="shared" si="182"/>
        <v>A</v>
      </c>
      <c r="AD163" s="891"/>
      <c r="AE163" s="884"/>
      <c r="AF163" s="885"/>
      <c r="AG163" s="886"/>
      <c r="AH163" s="887"/>
      <c r="AI163" s="888"/>
      <c r="AK163" s="252"/>
      <c r="AL163" s="254"/>
      <c r="AM163" s="254"/>
      <c r="AN163" s="254"/>
      <c r="AO163" s="254"/>
      <c r="AP163" s="254"/>
      <c r="AQ163" s="254"/>
      <c r="AR163" s="254"/>
      <c r="AS163" s="254"/>
      <c r="AT163" s="254"/>
      <c r="AU163" s="254"/>
      <c r="AV163" s="254"/>
      <c r="AW163" s="254"/>
      <c r="AX163" s="254"/>
      <c r="AY163" s="254"/>
    </row>
    <row r="164" spans="2:51" x14ac:dyDescent="0.3">
      <c r="B164" s="893"/>
      <c r="C164" s="894" t="s">
        <v>461</v>
      </c>
      <c r="D164" s="895">
        <v>0</v>
      </c>
      <c r="E164" s="896">
        <v>0</v>
      </c>
      <c r="F164" s="897">
        <v>0</v>
      </c>
      <c r="G164" s="897">
        <f t="shared" si="169"/>
        <v>0.25</v>
      </c>
      <c r="H164" s="897"/>
      <c r="I164" s="897"/>
      <c r="J164" s="897"/>
      <c r="K164" s="897"/>
      <c r="L164" s="897">
        <f t="shared" si="170"/>
        <v>0.2</v>
      </c>
      <c r="M164" s="897">
        <f t="shared" si="170"/>
        <v>0.25</v>
      </c>
      <c r="N164" s="897">
        <v>0</v>
      </c>
      <c r="O164" s="897"/>
      <c r="P164" s="897">
        <f t="shared" si="171"/>
        <v>0</v>
      </c>
      <c r="Q164" s="897">
        <f t="shared" si="171"/>
        <v>0.25</v>
      </c>
      <c r="R164" s="897">
        <f t="shared" si="171"/>
        <v>0.2</v>
      </c>
      <c r="S164" s="897">
        <f t="shared" si="172"/>
        <v>0.2</v>
      </c>
      <c r="T164" s="897">
        <f t="shared" si="173"/>
        <v>0.2</v>
      </c>
      <c r="U164" s="897">
        <f t="shared" si="174"/>
        <v>0.25</v>
      </c>
      <c r="V164" s="897">
        <f t="shared" si="175"/>
        <v>0.35</v>
      </c>
      <c r="W164" s="897">
        <f t="shared" ref="W164" si="183">W20</f>
        <v>0.25</v>
      </c>
      <c r="X164" s="897">
        <f t="shared" si="177"/>
        <v>0.25</v>
      </c>
      <c r="Y164" s="897">
        <f t="shared" si="178"/>
        <v>0.2</v>
      </c>
      <c r="Z164" s="897">
        <f t="shared" si="179"/>
        <v>0.2</v>
      </c>
      <c r="AA164" s="897">
        <f t="shared" si="180"/>
        <v>0.35</v>
      </c>
      <c r="AB164" s="897">
        <f t="shared" si="181"/>
        <v>0.25</v>
      </c>
      <c r="AC164" s="897">
        <f t="shared" si="182"/>
        <v>0.2</v>
      </c>
      <c r="AD164" s="898"/>
      <c r="AE164" s="899"/>
      <c r="AF164" s="900"/>
      <c r="AG164" s="901"/>
      <c r="AH164" s="901"/>
      <c r="AI164" s="902"/>
      <c r="AK164" s="252"/>
      <c r="AL164" s="254"/>
      <c r="AM164" s="254"/>
      <c r="AN164" s="254"/>
      <c r="AO164" s="254"/>
      <c r="AP164" s="254"/>
      <c r="AQ164" s="254"/>
      <c r="AR164" s="254"/>
      <c r="AS164" s="254"/>
      <c r="AT164" s="254"/>
      <c r="AU164" s="254"/>
      <c r="AV164" s="254"/>
      <c r="AW164" s="254"/>
      <c r="AX164" s="254"/>
      <c r="AY164" s="254"/>
    </row>
    <row r="165" spans="2:51" ht="71.400000000000006" customHeight="1" x14ac:dyDescent="0.3">
      <c r="B165" s="256" t="str">
        <f>'Procesy - AS IS'!B43</f>
        <v>Meranie č. 12</v>
      </c>
      <c r="C165" s="749" t="str">
        <f>'Procesy - AS IS'!$C$43</f>
        <v>BIOPRODUKT Dunajský Klátov, s.r.o., Dunajský Klátov, Kontrola prevádzkovateľov zariadení na zhodnocovanie odpadov, 3572/2018
8182/2018</v>
      </c>
      <c r="D165" s="872">
        <f>-'Procesy - AS IS'!D45*D178</f>
        <v>0</v>
      </c>
      <c r="E165" s="752">
        <f>-'Procesy - AS IS'!E45*E178</f>
        <v>0</v>
      </c>
      <c r="F165" s="752">
        <f>-'Procesy - AS IS'!F45*F178</f>
        <v>0</v>
      </c>
      <c r="G165" s="752">
        <f>-'Procesy - AS IS'!G45*G178</f>
        <v>-0.75</v>
      </c>
      <c r="H165" s="752" t="s">
        <v>523</v>
      </c>
      <c r="I165" s="752" t="s">
        <v>523</v>
      </c>
      <c r="J165" s="752" t="s">
        <v>523</v>
      </c>
      <c r="K165" s="752" t="s">
        <v>523</v>
      </c>
      <c r="L165" s="752">
        <f>-'Procesy - AS IS'!L45*L178</f>
        <v>0</v>
      </c>
      <c r="M165" s="752">
        <f>-'Procesy - AS IS'!M45*M178</f>
        <v>-0.375</v>
      </c>
      <c r="N165" s="752">
        <f>-'Procesy - AS IS'!N45*N178</f>
        <v>0</v>
      </c>
      <c r="O165" s="752" t="s">
        <v>524</v>
      </c>
      <c r="P165" s="752">
        <f>-'Procesy - AS IS'!P45*P178</f>
        <v>0</v>
      </c>
      <c r="Q165" s="752">
        <f>-'Procesy - AS IS'!Q45*Q178</f>
        <v>0</v>
      </c>
      <c r="R165" s="752">
        <f>-'Procesy - AS IS'!R45*R178</f>
        <v>-0.93271676300578044</v>
      </c>
      <c r="S165" s="752">
        <f>-'Procesy - AS IS'!S45*S178</f>
        <v>-1.8421676300578036</v>
      </c>
      <c r="T165" s="752">
        <f>-'Procesy - AS IS'!T45*T178</f>
        <v>0</v>
      </c>
      <c r="U165" s="752">
        <f>-'Procesy - AS IS'!U45*U178</f>
        <v>-0.1771315028901734</v>
      </c>
      <c r="V165" s="752">
        <f>-'Procesy - AS IS'!V45*V178</f>
        <v>-0.17499999999999999</v>
      </c>
      <c r="W165" s="752">
        <f>-'Procesy - AS IS'!W45*W178</f>
        <v>-6.5624999999999989E-2</v>
      </c>
      <c r="X165" s="752">
        <f>-'Procesy - AS IS'!X45*X178</f>
        <v>0</v>
      </c>
      <c r="Y165" s="752">
        <f>-'Procesy - AS IS'!Y45*Y178</f>
        <v>-0.55999999999999994</v>
      </c>
      <c r="Z165" s="752">
        <f>-'Procesy - AS IS'!Z45*Z178</f>
        <v>-5.000000000000001E-3</v>
      </c>
      <c r="AA165" s="752">
        <f>-'Procesy - AS IS'!AA45*AA178</f>
        <v>-1.7499999999999998E-2</v>
      </c>
      <c r="AB165" s="752">
        <f>-'Procesy - AS IS'!AB45*AB178</f>
        <v>-0.12000000000000002</v>
      </c>
      <c r="AC165" s="752">
        <f>-'Procesy - AS IS'!AC45*AC178</f>
        <v>-0.2</v>
      </c>
      <c r="AD165" s="903">
        <f>SUM(D165:AC165)</f>
        <v>-5.2201408959537572</v>
      </c>
      <c r="AE165" s="880">
        <f>AD165/'Procesy - AS IS'!AD45</f>
        <v>-0.19833024500720609</v>
      </c>
      <c r="AF165" s="881">
        <f>'Procesy - AS IS'!AG45/(1+$AE165)-'Procesy - AS IS'!AG45</f>
        <v>9.8958576781527157</v>
      </c>
      <c r="AG165" s="882">
        <f>'Procesy - AS IS'!AH45/(1+$AE165)-'Procesy - AS IS'!AH45</f>
        <v>2.8843851064789057</v>
      </c>
      <c r="AH165" s="877">
        <f>'Procesy - AS IS'!AI45/(1+$AE165)-'Procesy - AS IS'!AI45</f>
        <v>1.731775093676724</v>
      </c>
      <c r="AI165" s="878">
        <f>'Procesy - AS IS'!AJ45/(1+$AE165)-'Procesy - AS IS'!AJ45</f>
        <v>0.24739644195381771</v>
      </c>
      <c r="AK165" s="252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</row>
    <row r="166" spans="2:51" x14ac:dyDescent="0.3">
      <c r="B166" s="1150" t="s">
        <v>451</v>
      </c>
      <c r="C166" s="766" t="s">
        <v>409</v>
      </c>
      <c r="D166" s="890" t="s">
        <v>453</v>
      </c>
      <c r="E166" s="772" t="s">
        <v>453</v>
      </c>
      <c r="F166" s="890" t="s">
        <v>453</v>
      </c>
      <c r="G166" s="890" t="str">
        <f t="shared" ref="G166:G178" si="184">G152</f>
        <v>A</v>
      </c>
      <c r="H166" s="890"/>
      <c r="I166" s="890"/>
      <c r="J166" s="890"/>
      <c r="K166" s="890"/>
      <c r="L166" s="890" t="str">
        <f t="shared" ref="L166:M178" si="185">L152</f>
        <v>A</v>
      </c>
      <c r="M166" s="890" t="str">
        <f t="shared" si="185"/>
        <v>A</v>
      </c>
      <c r="N166" s="890" t="str">
        <f t="shared" ref="N166:N178" si="186">G166</f>
        <v>A</v>
      </c>
      <c r="O166" s="890"/>
      <c r="P166" s="890" t="str">
        <f t="shared" ref="P166:Q178" si="187">P138</f>
        <v>N</v>
      </c>
      <c r="Q166" s="890" t="str">
        <f t="shared" si="187"/>
        <v>A</v>
      </c>
      <c r="R166" s="890" t="str">
        <f t="shared" ref="R166:R178" si="188">R152</f>
        <v>A</v>
      </c>
      <c r="S166" s="890" t="str">
        <f t="shared" ref="S166:S178" si="189">R166</f>
        <v>A</v>
      </c>
      <c r="T166" s="890" t="str">
        <f t="shared" ref="T166:T178" si="190">R138</f>
        <v>A</v>
      </c>
      <c r="U166" s="890" t="str">
        <f t="shared" ref="U166:U178" si="191">$G166</f>
        <v>A</v>
      </c>
      <c r="V166" s="890" t="str">
        <f t="shared" ref="V166:V178" si="192">V138</f>
        <v>A</v>
      </c>
      <c r="W166" s="890" t="str">
        <f t="shared" ref="W166:W177" si="193">W7</f>
        <v>A</v>
      </c>
      <c r="X166" s="890" t="str">
        <f t="shared" ref="X166:X178" si="194">$G166</f>
        <v>A</v>
      </c>
      <c r="Y166" s="890" t="str">
        <f t="shared" ref="Y166:Y178" si="195">$R166</f>
        <v>A</v>
      </c>
      <c r="Z166" s="890" t="str">
        <f t="shared" ref="Z166:Z178" si="196">R138</f>
        <v>A</v>
      </c>
      <c r="AA166" s="890" t="str">
        <f t="shared" ref="AA166:AA178" si="197">$V166</f>
        <v>A</v>
      </c>
      <c r="AB166" s="890" t="str">
        <f t="shared" ref="AB166:AC178" si="198">$R166</f>
        <v>A</v>
      </c>
      <c r="AC166" s="890" t="str">
        <f t="shared" si="198"/>
        <v>A</v>
      </c>
      <c r="AD166" s="891"/>
      <c r="AE166" s="884"/>
      <c r="AF166" s="885"/>
      <c r="AG166" s="886"/>
      <c r="AH166" s="887"/>
      <c r="AI166" s="888"/>
      <c r="AK166" s="252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</row>
    <row r="167" spans="2:51" x14ac:dyDescent="0.3">
      <c r="B167" s="1151"/>
      <c r="C167" s="766" t="s">
        <v>411</v>
      </c>
      <c r="D167" s="889" t="s">
        <v>453</v>
      </c>
      <c r="E167" s="890" t="s">
        <v>453</v>
      </c>
      <c r="F167" s="890" t="s">
        <v>453</v>
      </c>
      <c r="G167" s="890" t="str">
        <f t="shared" si="184"/>
        <v>N</v>
      </c>
      <c r="H167" s="890"/>
      <c r="I167" s="890"/>
      <c r="J167" s="890"/>
      <c r="K167" s="890"/>
      <c r="L167" s="890" t="str">
        <f t="shared" si="185"/>
        <v>N</v>
      </c>
      <c r="M167" s="890" t="str">
        <f t="shared" si="185"/>
        <v>N</v>
      </c>
      <c r="N167" s="890" t="str">
        <f t="shared" si="186"/>
        <v>N</v>
      </c>
      <c r="O167" s="890"/>
      <c r="P167" s="890" t="str">
        <f t="shared" si="187"/>
        <v>N</v>
      </c>
      <c r="Q167" s="890" t="str">
        <f t="shared" si="187"/>
        <v>N</v>
      </c>
      <c r="R167" s="890" t="str">
        <f t="shared" si="188"/>
        <v>N</v>
      </c>
      <c r="S167" s="890" t="str">
        <f t="shared" si="189"/>
        <v>N</v>
      </c>
      <c r="T167" s="890" t="str">
        <f t="shared" si="190"/>
        <v>N</v>
      </c>
      <c r="U167" s="890" t="str">
        <f t="shared" si="191"/>
        <v>N</v>
      </c>
      <c r="V167" s="890" t="str">
        <f t="shared" si="192"/>
        <v>N</v>
      </c>
      <c r="W167" s="890" t="str">
        <f t="shared" si="193"/>
        <v>N</v>
      </c>
      <c r="X167" s="890" t="str">
        <f t="shared" si="194"/>
        <v>N</v>
      </c>
      <c r="Y167" s="890" t="str">
        <f t="shared" si="195"/>
        <v>N</v>
      </c>
      <c r="Z167" s="890" t="str">
        <f t="shared" si="196"/>
        <v>N</v>
      </c>
      <c r="AA167" s="890" t="str">
        <f t="shared" si="197"/>
        <v>N</v>
      </c>
      <c r="AB167" s="890" t="str">
        <f t="shared" si="198"/>
        <v>N</v>
      </c>
      <c r="AC167" s="890" t="str">
        <f t="shared" si="198"/>
        <v>N</v>
      </c>
      <c r="AD167" s="891"/>
      <c r="AE167" s="884"/>
      <c r="AF167" s="885"/>
      <c r="AG167" s="886"/>
      <c r="AH167" s="887"/>
      <c r="AI167" s="888"/>
      <c r="AK167" s="252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</row>
    <row r="168" spans="2:51" x14ac:dyDescent="0.3">
      <c r="B168" s="1151"/>
      <c r="C168" s="766" t="s">
        <v>413</v>
      </c>
      <c r="D168" s="889" t="s">
        <v>453</v>
      </c>
      <c r="E168" s="890" t="s">
        <v>453</v>
      </c>
      <c r="F168" s="890" t="s">
        <v>453</v>
      </c>
      <c r="G168" s="890" t="str">
        <f t="shared" si="184"/>
        <v>N</v>
      </c>
      <c r="H168" s="890"/>
      <c r="I168" s="890"/>
      <c r="J168" s="890"/>
      <c r="K168" s="890"/>
      <c r="L168" s="890" t="str">
        <f t="shared" si="185"/>
        <v>N</v>
      </c>
      <c r="M168" s="890" t="str">
        <f t="shared" si="185"/>
        <v>N</v>
      </c>
      <c r="N168" s="890" t="str">
        <f t="shared" si="186"/>
        <v>N</v>
      </c>
      <c r="O168" s="890"/>
      <c r="P168" s="890" t="str">
        <f t="shared" si="187"/>
        <v>N</v>
      </c>
      <c r="Q168" s="890" t="str">
        <f t="shared" si="187"/>
        <v>N</v>
      </c>
      <c r="R168" s="890" t="str">
        <f t="shared" si="188"/>
        <v>N</v>
      </c>
      <c r="S168" s="890" t="str">
        <f t="shared" si="189"/>
        <v>N</v>
      </c>
      <c r="T168" s="890" t="str">
        <f t="shared" si="190"/>
        <v>N</v>
      </c>
      <c r="U168" s="890" t="str">
        <f t="shared" si="191"/>
        <v>N</v>
      </c>
      <c r="V168" s="890" t="str">
        <f t="shared" si="192"/>
        <v>N</v>
      </c>
      <c r="W168" s="890" t="str">
        <f t="shared" si="193"/>
        <v>N</v>
      </c>
      <c r="X168" s="890" t="str">
        <f t="shared" si="194"/>
        <v>N</v>
      </c>
      <c r="Y168" s="890" t="str">
        <f t="shared" si="195"/>
        <v>N</v>
      </c>
      <c r="Z168" s="890" t="str">
        <f t="shared" si="196"/>
        <v>N</v>
      </c>
      <c r="AA168" s="890" t="str">
        <f t="shared" si="197"/>
        <v>N</v>
      </c>
      <c r="AB168" s="890" t="str">
        <f t="shared" si="198"/>
        <v>N</v>
      </c>
      <c r="AC168" s="890" t="str">
        <f t="shared" si="198"/>
        <v>N</v>
      </c>
      <c r="AD168" s="891"/>
      <c r="AE168" s="884"/>
      <c r="AF168" s="885"/>
      <c r="AG168" s="886"/>
      <c r="AH168" s="887"/>
      <c r="AI168" s="888"/>
      <c r="AK168" s="252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</row>
    <row r="169" spans="2:51" x14ac:dyDescent="0.3">
      <c r="B169" s="1151"/>
      <c r="C169" s="766" t="s">
        <v>415</v>
      </c>
      <c r="D169" s="892" t="s">
        <v>453</v>
      </c>
      <c r="E169" s="890" t="s">
        <v>453</v>
      </c>
      <c r="F169" s="890" t="s">
        <v>453</v>
      </c>
      <c r="G169" s="890" t="str">
        <f t="shared" si="184"/>
        <v>N</v>
      </c>
      <c r="H169" s="890"/>
      <c r="I169" s="890"/>
      <c r="J169" s="890"/>
      <c r="K169" s="890"/>
      <c r="L169" s="890" t="str">
        <f t="shared" si="185"/>
        <v>N</v>
      </c>
      <c r="M169" s="890" t="str">
        <f t="shared" si="185"/>
        <v>N</v>
      </c>
      <c r="N169" s="890" t="str">
        <f t="shared" si="186"/>
        <v>N</v>
      </c>
      <c r="O169" s="890"/>
      <c r="P169" s="890" t="str">
        <f t="shared" si="187"/>
        <v>N</v>
      </c>
      <c r="Q169" s="890" t="str">
        <f t="shared" si="187"/>
        <v>N</v>
      </c>
      <c r="R169" s="890" t="str">
        <f t="shared" si="188"/>
        <v>N</v>
      </c>
      <c r="S169" s="890" t="str">
        <f t="shared" si="189"/>
        <v>N</v>
      </c>
      <c r="T169" s="890" t="str">
        <f t="shared" si="190"/>
        <v>N</v>
      </c>
      <c r="U169" s="890" t="str">
        <f t="shared" si="191"/>
        <v>N</v>
      </c>
      <c r="V169" s="890" t="str">
        <f t="shared" si="192"/>
        <v>N</v>
      </c>
      <c r="W169" s="890" t="str">
        <f t="shared" si="193"/>
        <v>N</v>
      </c>
      <c r="X169" s="890" t="str">
        <f t="shared" si="194"/>
        <v>N</v>
      </c>
      <c r="Y169" s="890" t="str">
        <f t="shared" si="195"/>
        <v>N</v>
      </c>
      <c r="Z169" s="890" t="str">
        <f t="shared" si="196"/>
        <v>N</v>
      </c>
      <c r="AA169" s="890" t="str">
        <f t="shared" si="197"/>
        <v>N</v>
      </c>
      <c r="AB169" s="890" t="str">
        <f t="shared" si="198"/>
        <v>N</v>
      </c>
      <c r="AC169" s="890" t="str">
        <f t="shared" si="198"/>
        <v>N</v>
      </c>
      <c r="AD169" s="891"/>
      <c r="AE169" s="884"/>
      <c r="AF169" s="885"/>
      <c r="AG169" s="886"/>
      <c r="AH169" s="887"/>
      <c r="AI169" s="888"/>
      <c r="AK169" s="252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</row>
    <row r="170" spans="2:51" x14ac:dyDescent="0.3">
      <c r="B170" s="1151"/>
      <c r="C170" s="766" t="s">
        <v>417</v>
      </c>
      <c r="D170" s="892" t="s">
        <v>453</v>
      </c>
      <c r="E170" s="890" t="s">
        <v>453</v>
      </c>
      <c r="F170" s="890" t="s">
        <v>453</v>
      </c>
      <c r="G170" s="890" t="str">
        <f t="shared" si="184"/>
        <v>A</v>
      </c>
      <c r="H170" s="890"/>
      <c r="I170" s="890"/>
      <c r="J170" s="890"/>
      <c r="K170" s="890"/>
      <c r="L170" s="890" t="str">
        <f t="shared" si="185"/>
        <v>A</v>
      </c>
      <c r="M170" s="890" t="str">
        <f t="shared" si="185"/>
        <v>A</v>
      </c>
      <c r="N170" s="890" t="str">
        <f t="shared" si="186"/>
        <v>A</v>
      </c>
      <c r="O170" s="890"/>
      <c r="P170" s="890" t="str">
        <f t="shared" si="187"/>
        <v>N</v>
      </c>
      <c r="Q170" s="890" t="str">
        <f t="shared" si="187"/>
        <v>A</v>
      </c>
      <c r="R170" s="890" t="str">
        <f t="shared" si="188"/>
        <v>A</v>
      </c>
      <c r="S170" s="890" t="str">
        <f t="shared" si="189"/>
        <v>A</v>
      </c>
      <c r="T170" s="890" t="str">
        <f t="shared" si="190"/>
        <v>A</v>
      </c>
      <c r="U170" s="890" t="str">
        <f t="shared" si="191"/>
        <v>A</v>
      </c>
      <c r="V170" s="890" t="str">
        <f t="shared" si="192"/>
        <v>A</v>
      </c>
      <c r="W170" s="890" t="str">
        <f t="shared" si="193"/>
        <v>A</v>
      </c>
      <c r="X170" s="890" t="str">
        <f t="shared" si="194"/>
        <v>A</v>
      </c>
      <c r="Y170" s="890" t="str">
        <f t="shared" si="195"/>
        <v>A</v>
      </c>
      <c r="Z170" s="890" t="str">
        <f t="shared" si="196"/>
        <v>A</v>
      </c>
      <c r="AA170" s="890" t="str">
        <f t="shared" si="197"/>
        <v>A</v>
      </c>
      <c r="AB170" s="890" t="str">
        <f t="shared" si="198"/>
        <v>A</v>
      </c>
      <c r="AC170" s="890" t="str">
        <f t="shared" si="198"/>
        <v>A</v>
      </c>
      <c r="AD170" s="891"/>
      <c r="AE170" s="884"/>
      <c r="AF170" s="885"/>
      <c r="AG170" s="886"/>
      <c r="AH170" s="887"/>
      <c r="AI170" s="888"/>
      <c r="AK170" s="252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</row>
    <row r="171" spans="2:51" x14ac:dyDescent="0.3">
      <c r="B171" s="1151"/>
      <c r="C171" s="766" t="s">
        <v>419</v>
      </c>
      <c r="D171" s="892" t="s">
        <v>453</v>
      </c>
      <c r="E171" s="890" t="s">
        <v>453</v>
      </c>
      <c r="F171" s="890" t="s">
        <v>453</v>
      </c>
      <c r="G171" s="890" t="str">
        <f t="shared" si="184"/>
        <v>A</v>
      </c>
      <c r="H171" s="890"/>
      <c r="I171" s="890"/>
      <c r="J171" s="890"/>
      <c r="K171" s="890"/>
      <c r="L171" s="890" t="str">
        <f t="shared" si="185"/>
        <v>A</v>
      </c>
      <c r="M171" s="890" t="str">
        <f t="shared" si="185"/>
        <v>A</v>
      </c>
      <c r="N171" s="890" t="str">
        <f t="shared" si="186"/>
        <v>A</v>
      </c>
      <c r="O171" s="890"/>
      <c r="P171" s="890" t="str">
        <f t="shared" si="187"/>
        <v>N</v>
      </c>
      <c r="Q171" s="890" t="str">
        <f t="shared" si="187"/>
        <v>A</v>
      </c>
      <c r="R171" s="890" t="str">
        <f t="shared" si="188"/>
        <v>A</v>
      </c>
      <c r="S171" s="890" t="str">
        <f t="shared" si="189"/>
        <v>A</v>
      </c>
      <c r="T171" s="890" t="str">
        <f t="shared" si="190"/>
        <v>A</v>
      </c>
      <c r="U171" s="890" t="str">
        <f t="shared" si="191"/>
        <v>A</v>
      </c>
      <c r="V171" s="890" t="str">
        <f t="shared" si="192"/>
        <v>A</v>
      </c>
      <c r="W171" s="890" t="str">
        <f t="shared" si="193"/>
        <v>A</v>
      </c>
      <c r="X171" s="890" t="str">
        <f t="shared" si="194"/>
        <v>A</v>
      </c>
      <c r="Y171" s="890" t="str">
        <f t="shared" si="195"/>
        <v>A</v>
      </c>
      <c r="Z171" s="890" t="str">
        <f t="shared" si="196"/>
        <v>A</v>
      </c>
      <c r="AA171" s="890" t="str">
        <f t="shared" si="197"/>
        <v>A</v>
      </c>
      <c r="AB171" s="890" t="str">
        <f t="shared" si="198"/>
        <v>A</v>
      </c>
      <c r="AC171" s="890" t="str">
        <f t="shared" si="198"/>
        <v>A</v>
      </c>
      <c r="AD171" s="891"/>
      <c r="AE171" s="884"/>
      <c r="AF171" s="885"/>
      <c r="AG171" s="886"/>
      <c r="AH171" s="887"/>
      <c r="AI171" s="888"/>
      <c r="AK171" s="252"/>
      <c r="AL171" s="254"/>
      <c r="AM171" s="254"/>
      <c r="AN171" s="254"/>
      <c r="AO171" s="254"/>
      <c r="AP171" s="254"/>
      <c r="AQ171" s="254"/>
      <c r="AR171" s="254"/>
      <c r="AS171" s="254"/>
      <c r="AT171" s="254"/>
      <c r="AU171" s="254"/>
      <c r="AV171" s="254"/>
      <c r="AW171" s="254"/>
      <c r="AX171" s="254"/>
      <c r="AY171" s="254"/>
    </row>
    <row r="172" spans="2:51" x14ac:dyDescent="0.3">
      <c r="B172" s="1151"/>
      <c r="C172" s="766" t="s">
        <v>421</v>
      </c>
      <c r="D172" s="892" t="s">
        <v>453</v>
      </c>
      <c r="E172" s="890" t="s">
        <v>453</v>
      </c>
      <c r="F172" s="890" t="s">
        <v>453</v>
      </c>
      <c r="G172" s="890" t="str">
        <f t="shared" si="184"/>
        <v>A</v>
      </c>
      <c r="H172" s="890"/>
      <c r="I172" s="890"/>
      <c r="J172" s="890"/>
      <c r="K172" s="890"/>
      <c r="L172" s="890" t="str">
        <f t="shared" si="185"/>
        <v>N</v>
      </c>
      <c r="M172" s="890" t="str">
        <f t="shared" si="185"/>
        <v>A</v>
      </c>
      <c r="N172" s="890" t="str">
        <f t="shared" si="186"/>
        <v>A</v>
      </c>
      <c r="O172" s="890"/>
      <c r="P172" s="890" t="str">
        <f t="shared" si="187"/>
        <v>N</v>
      </c>
      <c r="Q172" s="890" t="str">
        <f t="shared" si="187"/>
        <v>A</v>
      </c>
      <c r="R172" s="890" t="str">
        <f t="shared" si="188"/>
        <v>N</v>
      </c>
      <c r="S172" s="890" t="str">
        <f t="shared" si="189"/>
        <v>N</v>
      </c>
      <c r="T172" s="890" t="str">
        <f t="shared" si="190"/>
        <v>N</v>
      </c>
      <c r="U172" s="890" t="str">
        <f t="shared" si="191"/>
        <v>A</v>
      </c>
      <c r="V172" s="890" t="str">
        <f t="shared" si="192"/>
        <v>A</v>
      </c>
      <c r="W172" s="890" t="str">
        <f t="shared" si="193"/>
        <v>A</v>
      </c>
      <c r="X172" s="890" t="str">
        <f t="shared" si="194"/>
        <v>A</v>
      </c>
      <c r="Y172" s="890" t="str">
        <f t="shared" si="195"/>
        <v>N</v>
      </c>
      <c r="Z172" s="890" t="str">
        <f t="shared" si="196"/>
        <v>N</v>
      </c>
      <c r="AA172" s="890" t="str">
        <f t="shared" si="197"/>
        <v>A</v>
      </c>
      <c r="AB172" s="890" t="str">
        <f t="shared" si="198"/>
        <v>N</v>
      </c>
      <c r="AC172" s="890" t="str">
        <f t="shared" si="198"/>
        <v>N</v>
      </c>
      <c r="AD172" s="891"/>
      <c r="AE172" s="884"/>
      <c r="AF172" s="885"/>
      <c r="AG172" s="886"/>
      <c r="AH172" s="887"/>
      <c r="AI172" s="888"/>
      <c r="AK172" s="252"/>
      <c r="AL172" s="254"/>
      <c r="AM172" s="254"/>
      <c r="AN172" s="254"/>
      <c r="AO172" s="254"/>
      <c r="AP172" s="254"/>
      <c r="AQ172" s="254"/>
      <c r="AR172" s="254"/>
      <c r="AS172" s="254"/>
      <c r="AT172" s="254"/>
      <c r="AU172" s="254"/>
      <c r="AV172" s="254"/>
      <c r="AW172" s="254"/>
      <c r="AX172" s="254"/>
      <c r="AY172" s="254"/>
    </row>
    <row r="173" spans="2:51" x14ac:dyDescent="0.3">
      <c r="B173" s="1151"/>
      <c r="C173" s="766" t="s">
        <v>423</v>
      </c>
      <c r="D173" s="892" t="s">
        <v>453</v>
      </c>
      <c r="E173" s="890" t="s">
        <v>453</v>
      </c>
      <c r="F173" s="890" t="s">
        <v>453</v>
      </c>
      <c r="G173" s="890" t="str">
        <f t="shared" si="184"/>
        <v>A</v>
      </c>
      <c r="H173" s="890"/>
      <c r="I173" s="890"/>
      <c r="J173" s="890"/>
      <c r="K173" s="890"/>
      <c r="L173" s="890" t="str">
        <f t="shared" si="185"/>
        <v>N</v>
      </c>
      <c r="M173" s="890" t="str">
        <f t="shared" si="185"/>
        <v>A</v>
      </c>
      <c r="N173" s="890" t="str">
        <f t="shared" si="186"/>
        <v>A</v>
      </c>
      <c r="O173" s="890"/>
      <c r="P173" s="890" t="str">
        <f t="shared" si="187"/>
        <v>N</v>
      </c>
      <c r="Q173" s="890" t="str">
        <f t="shared" si="187"/>
        <v>A</v>
      </c>
      <c r="R173" s="890" t="str">
        <f t="shared" si="188"/>
        <v>N</v>
      </c>
      <c r="S173" s="890" t="str">
        <f t="shared" si="189"/>
        <v>N</v>
      </c>
      <c r="T173" s="890" t="str">
        <f t="shared" si="190"/>
        <v>N</v>
      </c>
      <c r="U173" s="890" t="str">
        <f t="shared" si="191"/>
        <v>A</v>
      </c>
      <c r="V173" s="890" t="str">
        <f t="shared" si="192"/>
        <v>A</v>
      </c>
      <c r="W173" s="890" t="str">
        <f t="shared" si="193"/>
        <v>A</v>
      </c>
      <c r="X173" s="890" t="str">
        <f t="shared" si="194"/>
        <v>A</v>
      </c>
      <c r="Y173" s="890" t="str">
        <f t="shared" si="195"/>
        <v>N</v>
      </c>
      <c r="Z173" s="890" t="str">
        <f t="shared" si="196"/>
        <v>N</v>
      </c>
      <c r="AA173" s="890" t="str">
        <f t="shared" si="197"/>
        <v>A</v>
      </c>
      <c r="AB173" s="890" t="str">
        <f t="shared" si="198"/>
        <v>N</v>
      </c>
      <c r="AC173" s="890" t="str">
        <f t="shared" si="198"/>
        <v>N</v>
      </c>
      <c r="AD173" s="891"/>
      <c r="AE173" s="884"/>
      <c r="AF173" s="885"/>
      <c r="AG173" s="886"/>
      <c r="AH173" s="887"/>
      <c r="AI173" s="888"/>
      <c r="AK173" s="252"/>
      <c r="AL173" s="254"/>
      <c r="AM173" s="254"/>
      <c r="AN173" s="254"/>
      <c r="AO173" s="254"/>
      <c r="AP173" s="254"/>
      <c r="AQ173" s="254"/>
      <c r="AR173" s="254"/>
      <c r="AS173" s="254"/>
      <c r="AT173" s="254"/>
      <c r="AU173" s="254"/>
      <c r="AV173" s="254"/>
      <c r="AW173" s="254"/>
      <c r="AX173" s="254"/>
      <c r="AY173" s="254"/>
    </row>
    <row r="174" spans="2:51" x14ac:dyDescent="0.3">
      <c r="B174" s="1151"/>
      <c r="C174" s="766" t="s">
        <v>425</v>
      </c>
      <c r="D174" s="892" t="s">
        <v>453</v>
      </c>
      <c r="E174" s="890" t="s">
        <v>453</v>
      </c>
      <c r="F174" s="890" t="s">
        <v>453</v>
      </c>
      <c r="G174" s="890" t="str">
        <f t="shared" si="184"/>
        <v>N</v>
      </c>
      <c r="H174" s="890"/>
      <c r="I174" s="890"/>
      <c r="J174" s="890"/>
      <c r="K174" s="890"/>
      <c r="L174" s="890" t="str">
        <f t="shared" si="185"/>
        <v>N</v>
      </c>
      <c r="M174" s="890" t="str">
        <f t="shared" si="185"/>
        <v>N</v>
      </c>
      <c r="N174" s="890" t="str">
        <f t="shared" si="186"/>
        <v>N</v>
      </c>
      <c r="O174" s="890"/>
      <c r="P174" s="890" t="str">
        <f t="shared" si="187"/>
        <v>N</v>
      </c>
      <c r="Q174" s="890" t="str">
        <f t="shared" si="187"/>
        <v>N</v>
      </c>
      <c r="R174" s="890" t="str">
        <f t="shared" si="188"/>
        <v>N</v>
      </c>
      <c r="S174" s="890" t="str">
        <f t="shared" si="189"/>
        <v>N</v>
      </c>
      <c r="T174" s="890" t="str">
        <f t="shared" si="190"/>
        <v>N</v>
      </c>
      <c r="U174" s="890" t="str">
        <f t="shared" si="191"/>
        <v>N</v>
      </c>
      <c r="V174" s="890" t="str">
        <f t="shared" si="192"/>
        <v>A</v>
      </c>
      <c r="W174" s="890" t="str">
        <f t="shared" si="193"/>
        <v>N</v>
      </c>
      <c r="X174" s="890" t="str">
        <f t="shared" si="194"/>
        <v>N</v>
      </c>
      <c r="Y174" s="890" t="str">
        <f t="shared" si="195"/>
        <v>N</v>
      </c>
      <c r="Z174" s="890" t="str">
        <f t="shared" si="196"/>
        <v>N</v>
      </c>
      <c r="AA174" s="890" t="str">
        <f t="shared" si="197"/>
        <v>A</v>
      </c>
      <c r="AB174" s="890" t="str">
        <f t="shared" si="198"/>
        <v>N</v>
      </c>
      <c r="AC174" s="890" t="str">
        <f t="shared" si="198"/>
        <v>N</v>
      </c>
      <c r="AD174" s="891"/>
      <c r="AE174" s="884"/>
      <c r="AF174" s="885"/>
      <c r="AG174" s="886"/>
      <c r="AH174" s="887"/>
      <c r="AI174" s="888"/>
      <c r="AK174" s="252"/>
      <c r="AL174" s="254"/>
      <c r="AM174" s="254"/>
      <c r="AN174" s="254"/>
      <c r="AO174" s="254"/>
      <c r="AP174" s="254"/>
      <c r="AQ174" s="254"/>
      <c r="AR174" s="254"/>
      <c r="AS174" s="254"/>
      <c r="AT174" s="254"/>
      <c r="AU174" s="254"/>
      <c r="AV174" s="254"/>
      <c r="AW174" s="254"/>
      <c r="AX174" s="254"/>
      <c r="AY174" s="254"/>
    </row>
    <row r="175" spans="2:51" x14ac:dyDescent="0.3">
      <c r="B175" s="1151"/>
      <c r="C175" s="766" t="s">
        <v>427</v>
      </c>
      <c r="D175" s="892" t="s">
        <v>453</v>
      </c>
      <c r="E175" s="890" t="s">
        <v>453</v>
      </c>
      <c r="F175" s="890" t="s">
        <v>453</v>
      </c>
      <c r="G175" s="890" t="str">
        <f t="shared" si="184"/>
        <v>A</v>
      </c>
      <c r="H175" s="890"/>
      <c r="I175" s="890"/>
      <c r="J175" s="890"/>
      <c r="K175" s="890"/>
      <c r="L175" s="890" t="str">
        <f t="shared" si="185"/>
        <v>A</v>
      </c>
      <c r="M175" s="890" t="str">
        <f t="shared" si="185"/>
        <v>A</v>
      </c>
      <c r="N175" s="890" t="str">
        <f t="shared" si="186"/>
        <v>A</v>
      </c>
      <c r="O175" s="890"/>
      <c r="P175" s="890" t="str">
        <f t="shared" si="187"/>
        <v>N</v>
      </c>
      <c r="Q175" s="890" t="str">
        <f t="shared" si="187"/>
        <v>A</v>
      </c>
      <c r="R175" s="890" t="str">
        <f t="shared" si="188"/>
        <v>A</v>
      </c>
      <c r="S175" s="890" t="str">
        <f t="shared" si="189"/>
        <v>A</v>
      </c>
      <c r="T175" s="890" t="str">
        <f t="shared" si="190"/>
        <v>A</v>
      </c>
      <c r="U175" s="890" t="str">
        <f t="shared" si="191"/>
        <v>A</v>
      </c>
      <c r="V175" s="890" t="str">
        <f t="shared" si="192"/>
        <v>A</v>
      </c>
      <c r="W175" s="890" t="str">
        <f t="shared" si="193"/>
        <v>A</v>
      </c>
      <c r="X175" s="890" t="str">
        <f t="shared" si="194"/>
        <v>A</v>
      </c>
      <c r="Y175" s="890" t="str">
        <f t="shared" si="195"/>
        <v>A</v>
      </c>
      <c r="Z175" s="890" t="str">
        <f t="shared" si="196"/>
        <v>A</v>
      </c>
      <c r="AA175" s="890" t="str">
        <f t="shared" si="197"/>
        <v>A</v>
      </c>
      <c r="AB175" s="890" t="str">
        <f t="shared" si="198"/>
        <v>A</v>
      </c>
      <c r="AC175" s="890" t="str">
        <f t="shared" si="198"/>
        <v>A</v>
      </c>
      <c r="AD175" s="891"/>
      <c r="AE175" s="884"/>
      <c r="AF175" s="885"/>
      <c r="AG175" s="886"/>
      <c r="AH175" s="887"/>
      <c r="AI175" s="888"/>
      <c r="AK175" s="252"/>
      <c r="AL175" s="254"/>
      <c r="AM175" s="254"/>
      <c r="AN175" s="254"/>
      <c r="AO175" s="254"/>
      <c r="AP175" s="254"/>
      <c r="AQ175" s="254"/>
      <c r="AR175" s="254"/>
      <c r="AS175" s="254"/>
      <c r="AT175" s="254"/>
      <c r="AU175" s="254"/>
      <c r="AV175" s="254"/>
      <c r="AW175" s="254"/>
      <c r="AX175" s="254"/>
      <c r="AY175" s="254"/>
    </row>
    <row r="176" spans="2:51" x14ac:dyDescent="0.3">
      <c r="B176" s="1151"/>
      <c r="C176" s="766" t="s">
        <v>429</v>
      </c>
      <c r="D176" s="892" t="s">
        <v>453</v>
      </c>
      <c r="E176" s="890" t="s">
        <v>453</v>
      </c>
      <c r="F176" s="890" t="s">
        <v>453</v>
      </c>
      <c r="G176" s="890" t="str">
        <f t="shared" si="184"/>
        <v>N</v>
      </c>
      <c r="H176" s="890"/>
      <c r="I176" s="890"/>
      <c r="J176" s="890"/>
      <c r="K176" s="890"/>
      <c r="L176" s="890" t="str">
        <f t="shared" si="185"/>
        <v>N</v>
      </c>
      <c r="M176" s="890" t="str">
        <f t="shared" si="185"/>
        <v>N</v>
      </c>
      <c r="N176" s="890" t="str">
        <f t="shared" si="186"/>
        <v>N</v>
      </c>
      <c r="O176" s="890"/>
      <c r="P176" s="890" t="str">
        <f t="shared" si="187"/>
        <v>N</v>
      </c>
      <c r="Q176" s="890" t="str">
        <f t="shared" si="187"/>
        <v>N</v>
      </c>
      <c r="R176" s="890" t="str">
        <f t="shared" si="188"/>
        <v>N</v>
      </c>
      <c r="S176" s="890" t="str">
        <f t="shared" si="189"/>
        <v>N</v>
      </c>
      <c r="T176" s="890" t="str">
        <f t="shared" si="190"/>
        <v>N</v>
      </c>
      <c r="U176" s="890" t="str">
        <f t="shared" si="191"/>
        <v>N</v>
      </c>
      <c r="V176" s="890" t="str">
        <f t="shared" si="192"/>
        <v>N</v>
      </c>
      <c r="W176" s="890" t="str">
        <f t="shared" si="193"/>
        <v>N</v>
      </c>
      <c r="X176" s="890" t="str">
        <f t="shared" si="194"/>
        <v>N</v>
      </c>
      <c r="Y176" s="890" t="str">
        <f t="shared" si="195"/>
        <v>N</v>
      </c>
      <c r="Z176" s="890" t="str">
        <f t="shared" si="196"/>
        <v>N</v>
      </c>
      <c r="AA176" s="890" t="str">
        <f t="shared" si="197"/>
        <v>N</v>
      </c>
      <c r="AB176" s="890" t="str">
        <f t="shared" si="198"/>
        <v>N</v>
      </c>
      <c r="AC176" s="890" t="str">
        <f t="shared" si="198"/>
        <v>N</v>
      </c>
      <c r="AD176" s="891"/>
      <c r="AE176" s="884"/>
      <c r="AF176" s="885"/>
      <c r="AG176" s="886"/>
      <c r="AH176" s="887"/>
      <c r="AI176" s="888"/>
      <c r="AK176" s="252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</row>
    <row r="177" spans="2:51" x14ac:dyDescent="0.3">
      <c r="B177" s="1151"/>
      <c r="C177" s="770" t="s">
        <v>431</v>
      </c>
      <c r="D177" s="892" t="s">
        <v>453</v>
      </c>
      <c r="E177" s="890" t="s">
        <v>453</v>
      </c>
      <c r="F177" s="890" t="s">
        <v>453</v>
      </c>
      <c r="G177" s="890" t="str">
        <f t="shared" si="184"/>
        <v>N</v>
      </c>
      <c r="H177" s="890"/>
      <c r="I177" s="890"/>
      <c r="J177" s="890"/>
      <c r="K177" s="890"/>
      <c r="L177" s="890" t="str">
        <f t="shared" si="185"/>
        <v>A</v>
      </c>
      <c r="M177" s="890" t="str">
        <f t="shared" si="185"/>
        <v>N</v>
      </c>
      <c r="N177" s="890" t="str">
        <f t="shared" si="186"/>
        <v>N</v>
      </c>
      <c r="O177" s="890"/>
      <c r="P177" s="890" t="str">
        <f t="shared" si="187"/>
        <v>N</v>
      </c>
      <c r="Q177" s="890" t="str">
        <f t="shared" si="187"/>
        <v>N</v>
      </c>
      <c r="R177" s="890" t="str">
        <f t="shared" si="188"/>
        <v>A</v>
      </c>
      <c r="S177" s="890" t="str">
        <f t="shared" si="189"/>
        <v>A</v>
      </c>
      <c r="T177" s="890" t="str">
        <f t="shared" si="190"/>
        <v>A</v>
      </c>
      <c r="U177" s="890" t="str">
        <f t="shared" si="191"/>
        <v>N</v>
      </c>
      <c r="V177" s="890" t="str">
        <f t="shared" si="192"/>
        <v>A</v>
      </c>
      <c r="W177" s="890" t="str">
        <f t="shared" si="193"/>
        <v>N</v>
      </c>
      <c r="X177" s="890" t="str">
        <f t="shared" si="194"/>
        <v>N</v>
      </c>
      <c r="Y177" s="890" t="str">
        <f t="shared" si="195"/>
        <v>A</v>
      </c>
      <c r="Z177" s="890" t="str">
        <f t="shared" si="196"/>
        <v>A</v>
      </c>
      <c r="AA177" s="890" t="str">
        <f t="shared" si="197"/>
        <v>A</v>
      </c>
      <c r="AB177" s="890" t="str">
        <f t="shared" si="198"/>
        <v>A</v>
      </c>
      <c r="AC177" s="890" t="str">
        <f t="shared" si="198"/>
        <v>A</v>
      </c>
      <c r="AD177" s="891"/>
      <c r="AE177" s="884"/>
      <c r="AF177" s="885"/>
      <c r="AG177" s="886"/>
      <c r="AH177" s="887"/>
      <c r="AI177" s="888"/>
      <c r="AK177" s="252"/>
      <c r="AL177" s="254"/>
      <c r="AM177" s="254"/>
      <c r="AN177" s="254"/>
      <c r="AO177" s="254"/>
      <c r="AP177" s="254"/>
      <c r="AQ177" s="254"/>
      <c r="AR177" s="254"/>
      <c r="AS177" s="254"/>
      <c r="AT177" s="254"/>
      <c r="AU177" s="254"/>
      <c r="AV177" s="254"/>
      <c r="AW177" s="254"/>
      <c r="AX177" s="254"/>
      <c r="AY177" s="254"/>
    </row>
    <row r="178" spans="2:51" x14ac:dyDescent="0.3">
      <c r="B178" s="893"/>
      <c r="C178" s="894" t="s">
        <v>461</v>
      </c>
      <c r="D178" s="895">
        <v>0</v>
      </c>
      <c r="E178" s="896">
        <v>0</v>
      </c>
      <c r="F178" s="897">
        <v>0</v>
      </c>
      <c r="G178" s="897">
        <f t="shared" si="184"/>
        <v>0.25</v>
      </c>
      <c r="H178" s="897"/>
      <c r="I178" s="897"/>
      <c r="J178" s="897"/>
      <c r="K178" s="897"/>
      <c r="L178" s="897">
        <f t="shared" si="185"/>
        <v>0.2</v>
      </c>
      <c r="M178" s="897">
        <f t="shared" si="185"/>
        <v>0.25</v>
      </c>
      <c r="N178" s="897">
        <f t="shared" si="186"/>
        <v>0.25</v>
      </c>
      <c r="O178" s="897"/>
      <c r="P178" s="897">
        <f t="shared" si="187"/>
        <v>0</v>
      </c>
      <c r="Q178" s="897">
        <f t="shared" si="187"/>
        <v>0.25</v>
      </c>
      <c r="R178" s="897">
        <f t="shared" si="188"/>
        <v>0.2</v>
      </c>
      <c r="S178" s="897">
        <f t="shared" si="189"/>
        <v>0.2</v>
      </c>
      <c r="T178" s="897">
        <f t="shared" si="190"/>
        <v>0.2</v>
      </c>
      <c r="U178" s="897">
        <f t="shared" si="191"/>
        <v>0.25</v>
      </c>
      <c r="V178" s="897">
        <f t="shared" si="192"/>
        <v>0.35</v>
      </c>
      <c r="W178" s="897">
        <f t="shared" ref="W178" si="199">W20</f>
        <v>0.25</v>
      </c>
      <c r="X178" s="897">
        <f t="shared" si="194"/>
        <v>0.25</v>
      </c>
      <c r="Y178" s="897">
        <f t="shared" si="195"/>
        <v>0.2</v>
      </c>
      <c r="Z178" s="897">
        <f t="shared" si="196"/>
        <v>0.2</v>
      </c>
      <c r="AA178" s="897">
        <f t="shared" si="197"/>
        <v>0.35</v>
      </c>
      <c r="AB178" s="897">
        <f t="shared" si="198"/>
        <v>0.2</v>
      </c>
      <c r="AC178" s="897">
        <f t="shared" si="198"/>
        <v>0.2</v>
      </c>
      <c r="AD178" s="898"/>
      <c r="AE178" s="899"/>
      <c r="AF178" s="900"/>
      <c r="AG178" s="901"/>
      <c r="AH178" s="901"/>
      <c r="AI178" s="902"/>
      <c r="AK178" s="252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254"/>
      <c r="AW178" s="254"/>
      <c r="AX178" s="254"/>
      <c r="AY178" s="254"/>
    </row>
    <row r="179" spans="2:51" ht="43.2" customHeight="1" x14ac:dyDescent="0.3">
      <c r="B179" s="256" t="str">
        <f>'Procesy - AS IS'!B46</f>
        <v>Meranie č. 13</v>
      </c>
      <c r="C179" s="749" t="str">
        <f>'Procesy - AS IS'!$C$46</f>
        <v>SLOVMAS, a.s., Bratislava, Kontrola povinností rozšírenej zodpovednosti výrobcov, 3970/2017</v>
      </c>
      <c r="D179" s="872">
        <f>-'Procesy - AS IS'!D48*D192</f>
        <v>0</v>
      </c>
      <c r="E179" s="752">
        <f>-'Procesy - AS IS'!E48*E192</f>
        <v>0</v>
      </c>
      <c r="F179" s="752">
        <f>-'Procesy - AS IS'!F48*F192</f>
        <v>0</v>
      </c>
      <c r="G179" s="752">
        <f>-'Procesy - AS IS'!G48*G192</f>
        <v>-6</v>
      </c>
      <c r="H179" s="752" t="s">
        <v>523</v>
      </c>
      <c r="I179" s="752" t="s">
        <v>523</v>
      </c>
      <c r="J179" s="752" t="s">
        <v>523</v>
      </c>
      <c r="K179" s="752" t="s">
        <v>523</v>
      </c>
      <c r="L179" s="752">
        <f>-'Procesy - AS IS'!L48*L192</f>
        <v>-0.1</v>
      </c>
      <c r="M179" s="752">
        <f>-'Procesy - AS IS'!M48*M192</f>
        <v>0</v>
      </c>
      <c r="N179" s="752">
        <f>-'Procesy - AS IS'!N48*N192</f>
        <v>0</v>
      </c>
      <c r="O179" s="752" t="s">
        <v>524</v>
      </c>
      <c r="P179" s="752">
        <f>-'Procesy - AS IS'!P48*P192</f>
        <v>0</v>
      </c>
      <c r="Q179" s="752">
        <f>-'Procesy - AS IS'!Q48*Q192</f>
        <v>0</v>
      </c>
      <c r="R179" s="752">
        <f>-'Procesy - AS IS'!R48*R192</f>
        <v>-5.6093560962494955</v>
      </c>
      <c r="S179" s="752">
        <f>-'Procesy - AS IS'!S48*S192</f>
        <v>-10.390643903750505</v>
      </c>
      <c r="T179" s="752">
        <f>-'Procesy - AS IS'!T48*T192</f>
        <v>-1.6828068288748488</v>
      </c>
      <c r="U179" s="752">
        <f>-'Procesy - AS IS'!U48*U192</f>
        <v>-0.4870614329883049</v>
      </c>
      <c r="V179" s="752">
        <f>-'Procesy - AS IS'!V48*V192</f>
        <v>-0.17499999999999999</v>
      </c>
      <c r="W179" s="752">
        <f>-'Procesy - AS IS'!W48*W192</f>
        <v>-7.8488372093023256E-2</v>
      </c>
      <c r="X179" s="752">
        <f>-'Procesy - AS IS'!X48*X192</f>
        <v>0</v>
      </c>
      <c r="Y179" s="752">
        <f>-'Procesy - AS IS'!Y48*Y192</f>
        <v>-0.66976744186046522</v>
      </c>
      <c r="Z179" s="752">
        <f>-'Procesy - AS IS'!Z48*Z192</f>
        <v>-4.6511627906976744E-3</v>
      </c>
      <c r="AA179" s="752">
        <f>-'Procesy - AS IS'!AA48*AA192</f>
        <v>-1.627906976744186E-2</v>
      </c>
      <c r="AB179" s="752">
        <f>-'Procesy - AS IS'!AB48*AB192</f>
        <v>-0.13953488372093023</v>
      </c>
      <c r="AC179" s="752">
        <f>-'Procesy - AS IS'!AC48*AC192</f>
        <v>-0.18604651162790697</v>
      </c>
      <c r="AD179" s="903">
        <f>SUM(D179:AC179)</f>
        <v>-25.539635703723622</v>
      </c>
      <c r="AE179" s="880">
        <f>AD179/'Procesy - AS IS'!AD48</f>
        <v>-0.15904300135989391</v>
      </c>
      <c r="AF179" s="881">
        <f>'Procesy - AS IS'!AG48/(1+$AE179)-'Procesy - AS IS'!AG48</f>
        <v>16.264444126238075</v>
      </c>
      <c r="AG179" s="882">
        <f>'Procesy - AS IS'!AH48/(1+$AE179)-'Procesy - AS IS'!AH48</f>
        <v>5.7020661757264293</v>
      </c>
      <c r="AH179" s="877">
        <f>'Procesy - AS IS'!AI48/(1+$AE179)-'Procesy - AS IS'!AI48</f>
        <v>3.4041859799102951</v>
      </c>
      <c r="AI179" s="878">
        <f>'Procesy - AS IS'!AJ48/(1+$AE179)-'Procesy - AS IS'!AJ48</f>
        <v>0.37824288665669936</v>
      </c>
      <c r="AK179" s="252"/>
      <c r="AL179" s="254"/>
      <c r="AM179" s="254"/>
      <c r="AN179" s="254"/>
      <c r="AO179" s="254"/>
      <c r="AP179" s="254"/>
      <c r="AQ179" s="254"/>
      <c r="AR179" s="254"/>
      <c r="AS179" s="254"/>
      <c r="AT179" s="254"/>
      <c r="AU179" s="254"/>
      <c r="AV179" s="254"/>
      <c r="AW179" s="254"/>
      <c r="AX179" s="254"/>
      <c r="AY179" s="254"/>
    </row>
    <row r="180" spans="2:51" x14ac:dyDescent="0.3">
      <c r="B180" s="1150" t="s">
        <v>451</v>
      </c>
      <c r="C180" s="766" t="s">
        <v>409</v>
      </c>
      <c r="D180" s="771" t="s">
        <v>453</v>
      </c>
      <c r="E180" s="772" t="s">
        <v>453</v>
      </c>
      <c r="F180" s="890" t="s">
        <v>453</v>
      </c>
      <c r="G180" s="890" t="str">
        <f t="shared" ref="G180:G192" si="200">G138</f>
        <v>A</v>
      </c>
      <c r="H180" s="890"/>
      <c r="I180" s="890"/>
      <c r="J180" s="890"/>
      <c r="K180" s="890"/>
      <c r="L180" s="890" t="str">
        <f t="shared" ref="L180:M192" si="201">L166</f>
        <v>A</v>
      </c>
      <c r="M180" s="890" t="str">
        <f t="shared" si="201"/>
        <v>A</v>
      </c>
      <c r="N180" s="890" t="s">
        <v>453</v>
      </c>
      <c r="O180" s="890"/>
      <c r="P180" s="890" t="str">
        <f t="shared" ref="P180:R192" si="202">P138</f>
        <v>N</v>
      </c>
      <c r="Q180" s="890" t="str">
        <f t="shared" si="202"/>
        <v>A</v>
      </c>
      <c r="R180" s="890" t="str">
        <f t="shared" si="202"/>
        <v>A</v>
      </c>
      <c r="S180" s="890" t="str">
        <f t="shared" ref="S180:S192" si="203">R180</f>
        <v>A</v>
      </c>
      <c r="T180" s="890" t="str">
        <f t="shared" ref="T180:T192" si="204">R180</f>
        <v>A</v>
      </c>
      <c r="U180" s="890" t="str">
        <f t="shared" ref="U180:U192" si="205">G166</f>
        <v>A</v>
      </c>
      <c r="V180" s="890" t="str">
        <f t="shared" ref="V180:V192" si="206">V138</f>
        <v>A</v>
      </c>
      <c r="W180" s="890" t="str">
        <f t="shared" ref="W180:W191" si="207">W7</f>
        <v>A</v>
      </c>
      <c r="X180" s="890" t="str">
        <f t="shared" ref="X180:X192" si="208">G180</f>
        <v>A</v>
      </c>
      <c r="Y180" s="890" t="str">
        <f t="shared" ref="Y180:Y192" si="209">R180</f>
        <v>A</v>
      </c>
      <c r="Z180" s="890" t="str">
        <f t="shared" ref="Z180:Z192" si="210">R180</f>
        <v>A</v>
      </c>
      <c r="AA180" s="890" t="str">
        <f t="shared" ref="AA180:AA192" si="211">$V180</f>
        <v>A</v>
      </c>
      <c r="AB180" s="890" t="str">
        <f t="shared" ref="AB180:AB192" si="212">G180</f>
        <v>A</v>
      </c>
      <c r="AC180" s="890" t="str">
        <f t="shared" ref="AC180:AC192" si="213">R180</f>
        <v>A</v>
      </c>
      <c r="AD180" s="891"/>
      <c r="AE180" s="884"/>
      <c r="AF180" s="885"/>
      <c r="AG180" s="886"/>
      <c r="AH180" s="887"/>
      <c r="AI180" s="888"/>
      <c r="AK180" s="252"/>
      <c r="AL180" s="254"/>
      <c r="AM180" s="254"/>
      <c r="AN180" s="254"/>
      <c r="AO180" s="254"/>
      <c r="AP180" s="254"/>
      <c r="AQ180" s="254"/>
      <c r="AR180" s="254"/>
      <c r="AS180" s="254"/>
      <c r="AT180" s="254"/>
      <c r="AU180" s="254"/>
      <c r="AV180" s="254"/>
      <c r="AW180" s="254"/>
      <c r="AX180" s="254"/>
      <c r="AY180" s="254"/>
    </row>
    <row r="181" spans="2:51" x14ac:dyDescent="0.3">
      <c r="B181" s="1151"/>
      <c r="C181" s="766" t="s">
        <v>411</v>
      </c>
      <c r="D181" s="889" t="s">
        <v>453</v>
      </c>
      <c r="E181" s="890" t="s">
        <v>453</v>
      </c>
      <c r="F181" s="890" t="s">
        <v>453</v>
      </c>
      <c r="G181" s="890" t="str">
        <f t="shared" si="200"/>
        <v>N</v>
      </c>
      <c r="H181" s="890"/>
      <c r="I181" s="890"/>
      <c r="J181" s="890"/>
      <c r="K181" s="890"/>
      <c r="L181" s="890" t="str">
        <f t="shared" si="201"/>
        <v>N</v>
      </c>
      <c r="M181" s="890" t="str">
        <f t="shared" si="201"/>
        <v>N</v>
      </c>
      <c r="N181" s="890" t="s">
        <v>453</v>
      </c>
      <c r="O181" s="890"/>
      <c r="P181" s="890" t="str">
        <f t="shared" si="202"/>
        <v>N</v>
      </c>
      <c r="Q181" s="890" t="str">
        <f t="shared" si="202"/>
        <v>N</v>
      </c>
      <c r="R181" s="890" t="str">
        <f t="shared" si="202"/>
        <v>N</v>
      </c>
      <c r="S181" s="890" t="str">
        <f t="shared" si="203"/>
        <v>N</v>
      </c>
      <c r="T181" s="890" t="str">
        <f t="shared" si="204"/>
        <v>N</v>
      </c>
      <c r="U181" s="890" t="str">
        <f t="shared" si="205"/>
        <v>N</v>
      </c>
      <c r="V181" s="890" t="str">
        <f t="shared" si="206"/>
        <v>N</v>
      </c>
      <c r="W181" s="890" t="str">
        <f t="shared" si="207"/>
        <v>N</v>
      </c>
      <c r="X181" s="890" t="str">
        <f t="shared" si="208"/>
        <v>N</v>
      </c>
      <c r="Y181" s="890" t="str">
        <f t="shared" si="209"/>
        <v>N</v>
      </c>
      <c r="Z181" s="890" t="str">
        <f t="shared" si="210"/>
        <v>N</v>
      </c>
      <c r="AA181" s="890" t="str">
        <f t="shared" si="211"/>
        <v>N</v>
      </c>
      <c r="AB181" s="890" t="str">
        <f t="shared" si="212"/>
        <v>N</v>
      </c>
      <c r="AC181" s="890" t="str">
        <f t="shared" si="213"/>
        <v>N</v>
      </c>
      <c r="AD181" s="891"/>
      <c r="AE181" s="884"/>
      <c r="AF181" s="885"/>
      <c r="AG181" s="886"/>
      <c r="AH181" s="887"/>
      <c r="AI181" s="888"/>
      <c r="AK181" s="252"/>
      <c r="AL181" s="254"/>
      <c r="AM181" s="254"/>
      <c r="AN181" s="254"/>
      <c r="AO181" s="254"/>
      <c r="AP181" s="254"/>
      <c r="AQ181" s="254"/>
      <c r="AR181" s="254"/>
      <c r="AS181" s="254"/>
      <c r="AT181" s="254"/>
      <c r="AU181" s="254"/>
      <c r="AV181" s="254"/>
      <c r="AW181" s="254"/>
      <c r="AX181" s="254"/>
      <c r="AY181" s="254"/>
    </row>
    <row r="182" spans="2:51" x14ac:dyDescent="0.3">
      <c r="B182" s="1151"/>
      <c r="C182" s="766" t="s">
        <v>413</v>
      </c>
      <c r="D182" s="889" t="s">
        <v>453</v>
      </c>
      <c r="E182" s="890" t="s">
        <v>453</v>
      </c>
      <c r="F182" s="890" t="s">
        <v>453</v>
      </c>
      <c r="G182" s="890" t="str">
        <f t="shared" si="200"/>
        <v>N</v>
      </c>
      <c r="H182" s="890"/>
      <c r="I182" s="890"/>
      <c r="J182" s="890"/>
      <c r="K182" s="890"/>
      <c r="L182" s="890" t="str">
        <f t="shared" si="201"/>
        <v>N</v>
      </c>
      <c r="M182" s="890" t="str">
        <f t="shared" si="201"/>
        <v>N</v>
      </c>
      <c r="N182" s="890" t="s">
        <v>453</v>
      </c>
      <c r="O182" s="890"/>
      <c r="P182" s="890" t="str">
        <f t="shared" si="202"/>
        <v>N</v>
      </c>
      <c r="Q182" s="890" t="str">
        <f t="shared" si="202"/>
        <v>N</v>
      </c>
      <c r="R182" s="890" t="str">
        <f t="shared" si="202"/>
        <v>N</v>
      </c>
      <c r="S182" s="890" t="str">
        <f t="shared" si="203"/>
        <v>N</v>
      </c>
      <c r="T182" s="890" t="str">
        <f t="shared" si="204"/>
        <v>N</v>
      </c>
      <c r="U182" s="890" t="str">
        <f t="shared" si="205"/>
        <v>N</v>
      </c>
      <c r="V182" s="890" t="str">
        <f t="shared" si="206"/>
        <v>N</v>
      </c>
      <c r="W182" s="890" t="str">
        <f t="shared" si="207"/>
        <v>N</v>
      </c>
      <c r="X182" s="890" t="str">
        <f t="shared" si="208"/>
        <v>N</v>
      </c>
      <c r="Y182" s="890" t="str">
        <f t="shared" si="209"/>
        <v>N</v>
      </c>
      <c r="Z182" s="890" t="str">
        <f t="shared" si="210"/>
        <v>N</v>
      </c>
      <c r="AA182" s="890" t="str">
        <f t="shared" si="211"/>
        <v>N</v>
      </c>
      <c r="AB182" s="890" t="str">
        <f t="shared" si="212"/>
        <v>N</v>
      </c>
      <c r="AC182" s="890" t="str">
        <f t="shared" si="213"/>
        <v>N</v>
      </c>
      <c r="AD182" s="891"/>
      <c r="AE182" s="884"/>
      <c r="AF182" s="885"/>
      <c r="AG182" s="886"/>
      <c r="AH182" s="887"/>
      <c r="AI182" s="888"/>
      <c r="AK182" s="252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</row>
    <row r="183" spans="2:51" x14ac:dyDescent="0.3">
      <c r="B183" s="1151"/>
      <c r="C183" s="766" t="s">
        <v>415</v>
      </c>
      <c r="D183" s="892" t="s">
        <v>453</v>
      </c>
      <c r="E183" s="890" t="s">
        <v>453</v>
      </c>
      <c r="F183" s="890" t="s">
        <v>453</v>
      </c>
      <c r="G183" s="890" t="str">
        <f t="shared" si="200"/>
        <v>N</v>
      </c>
      <c r="H183" s="890"/>
      <c r="I183" s="890"/>
      <c r="J183" s="890"/>
      <c r="K183" s="890"/>
      <c r="L183" s="890" t="str">
        <f t="shared" si="201"/>
        <v>N</v>
      </c>
      <c r="M183" s="890" t="str">
        <f t="shared" si="201"/>
        <v>N</v>
      </c>
      <c r="N183" s="890" t="s">
        <v>453</v>
      </c>
      <c r="O183" s="890"/>
      <c r="P183" s="890" t="str">
        <f t="shared" si="202"/>
        <v>N</v>
      </c>
      <c r="Q183" s="890" t="str">
        <f t="shared" si="202"/>
        <v>N</v>
      </c>
      <c r="R183" s="890" t="str">
        <f t="shared" si="202"/>
        <v>N</v>
      </c>
      <c r="S183" s="890" t="str">
        <f t="shared" si="203"/>
        <v>N</v>
      </c>
      <c r="T183" s="890" t="str">
        <f t="shared" si="204"/>
        <v>N</v>
      </c>
      <c r="U183" s="890" t="str">
        <f t="shared" si="205"/>
        <v>N</v>
      </c>
      <c r="V183" s="890" t="str">
        <f t="shared" si="206"/>
        <v>N</v>
      </c>
      <c r="W183" s="890" t="str">
        <f t="shared" si="207"/>
        <v>N</v>
      </c>
      <c r="X183" s="890" t="str">
        <f t="shared" si="208"/>
        <v>N</v>
      </c>
      <c r="Y183" s="890" t="str">
        <f t="shared" si="209"/>
        <v>N</v>
      </c>
      <c r="Z183" s="890" t="str">
        <f t="shared" si="210"/>
        <v>N</v>
      </c>
      <c r="AA183" s="890" t="str">
        <f t="shared" si="211"/>
        <v>N</v>
      </c>
      <c r="AB183" s="890" t="str">
        <f t="shared" si="212"/>
        <v>N</v>
      </c>
      <c r="AC183" s="890" t="str">
        <f t="shared" si="213"/>
        <v>N</v>
      </c>
      <c r="AD183" s="891"/>
      <c r="AE183" s="884"/>
      <c r="AF183" s="885"/>
      <c r="AG183" s="886"/>
      <c r="AH183" s="887"/>
      <c r="AI183" s="888"/>
      <c r="AK183" s="252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</row>
    <row r="184" spans="2:51" x14ac:dyDescent="0.3">
      <c r="B184" s="1151"/>
      <c r="C184" s="766" t="s">
        <v>417</v>
      </c>
      <c r="D184" s="892" t="s">
        <v>453</v>
      </c>
      <c r="E184" s="890" t="s">
        <v>453</v>
      </c>
      <c r="F184" s="890" t="s">
        <v>453</v>
      </c>
      <c r="G184" s="890" t="str">
        <f t="shared" si="200"/>
        <v>A</v>
      </c>
      <c r="H184" s="890"/>
      <c r="I184" s="890"/>
      <c r="J184" s="890"/>
      <c r="K184" s="890"/>
      <c r="L184" s="890" t="str">
        <f t="shared" si="201"/>
        <v>A</v>
      </c>
      <c r="M184" s="890" t="str">
        <f t="shared" si="201"/>
        <v>A</v>
      </c>
      <c r="N184" s="890" t="s">
        <v>453</v>
      </c>
      <c r="O184" s="890"/>
      <c r="P184" s="890" t="str">
        <f t="shared" si="202"/>
        <v>N</v>
      </c>
      <c r="Q184" s="890" t="str">
        <f t="shared" si="202"/>
        <v>A</v>
      </c>
      <c r="R184" s="890" t="str">
        <f t="shared" si="202"/>
        <v>A</v>
      </c>
      <c r="S184" s="890" t="str">
        <f t="shared" si="203"/>
        <v>A</v>
      </c>
      <c r="T184" s="890" t="str">
        <f t="shared" si="204"/>
        <v>A</v>
      </c>
      <c r="U184" s="890" t="str">
        <f t="shared" si="205"/>
        <v>A</v>
      </c>
      <c r="V184" s="890" t="str">
        <f t="shared" si="206"/>
        <v>A</v>
      </c>
      <c r="W184" s="890" t="str">
        <f t="shared" si="207"/>
        <v>A</v>
      </c>
      <c r="X184" s="890" t="str">
        <f t="shared" si="208"/>
        <v>A</v>
      </c>
      <c r="Y184" s="890" t="str">
        <f t="shared" si="209"/>
        <v>A</v>
      </c>
      <c r="Z184" s="890" t="str">
        <f t="shared" si="210"/>
        <v>A</v>
      </c>
      <c r="AA184" s="890" t="str">
        <f t="shared" si="211"/>
        <v>A</v>
      </c>
      <c r="AB184" s="890" t="str">
        <f t="shared" si="212"/>
        <v>A</v>
      </c>
      <c r="AC184" s="890" t="str">
        <f t="shared" si="213"/>
        <v>A</v>
      </c>
      <c r="AD184" s="891"/>
      <c r="AE184" s="884"/>
      <c r="AF184" s="885"/>
      <c r="AG184" s="886"/>
      <c r="AH184" s="887"/>
      <c r="AI184" s="888"/>
      <c r="AK184" s="252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</row>
    <row r="185" spans="2:51" x14ac:dyDescent="0.3">
      <c r="B185" s="1151"/>
      <c r="C185" s="766" t="s">
        <v>419</v>
      </c>
      <c r="D185" s="892" t="s">
        <v>453</v>
      </c>
      <c r="E185" s="890" t="s">
        <v>453</v>
      </c>
      <c r="F185" s="890" t="s">
        <v>453</v>
      </c>
      <c r="G185" s="890" t="str">
        <f t="shared" si="200"/>
        <v>A</v>
      </c>
      <c r="H185" s="890"/>
      <c r="I185" s="890"/>
      <c r="J185" s="890"/>
      <c r="K185" s="890"/>
      <c r="L185" s="890" t="str">
        <f t="shared" si="201"/>
        <v>A</v>
      </c>
      <c r="M185" s="890" t="str">
        <f t="shared" si="201"/>
        <v>A</v>
      </c>
      <c r="N185" s="890" t="s">
        <v>453</v>
      </c>
      <c r="O185" s="890"/>
      <c r="P185" s="890" t="str">
        <f t="shared" si="202"/>
        <v>N</v>
      </c>
      <c r="Q185" s="890" t="str">
        <f t="shared" si="202"/>
        <v>A</v>
      </c>
      <c r="R185" s="890" t="str">
        <f t="shared" si="202"/>
        <v>A</v>
      </c>
      <c r="S185" s="890" t="str">
        <f t="shared" si="203"/>
        <v>A</v>
      </c>
      <c r="T185" s="890" t="str">
        <f t="shared" si="204"/>
        <v>A</v>
      </c>
      <c r="U185" s="890" t="str">
        <f t="shared" si="205"/>
        <v>A</v>
      </c>
      <c r="V185" s="890" t="str">
        <f t="shared" si="206"/>
        <v>A</v>
      </c>
      <c r="W185" s="890" t="str">
        <f t="shared" si="207"/>
        <v>A</v>
      </c>
      <c r="X185" s="890" t="str">
        <f t="shared" si="208"/>
        <v>A</v>
      </c>
      <c r="Y185" s="890" t="str">
        <f t="shared" si="209"/>
        <v>A</v>
      </c>
      <c r="Z185" s="890" t="str">
        <f t="shared" si="210"/>
        <v>A</v>
      </c>
      <c r="AA185" s="890" t="str">
        <f t="shared" si="211"/>
        <v>A</v>
      </c>
      <c r="AB185" s="890" t="str">
        <f t="shared" si="212"/>
        <v>A</v>
      </c>
      <c r="AC185" s="890" t="str">
        <f t="shared" si="213"/>
        <v>A</v>
      </c>
      <c r="AD185" s="891"/>
      <c r="AE185" s="884"/>
      <c r="AF185" s="885"/>
      <c r="AG185" s="886"/>
      <c r="AH185" s="887"/>
      <c r="AI185" s="888"/>
      <c r="AK185" s="252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</row>
    <row r="186" spans="2:51" x14ac:dyDescent="0.3">
      <c r="B186" s="1151"/>
      <c r="C186" s="766" t="s">
        <v>421</v>
      </c>
      <c r="D186" s="892" t="s">
        <v>453</v>
      </c>
      <c r="E186" s="890" t="s">
        <v>453</v>
      </c>
      <c r="F186" s="890" t="s">
        <v>453</v>
      </c>
      <c r="G186" s="890" t="str">
        <f t="shared" si="200"/>
        <v>A</v>
      </c>
      <c r="H186" s="890"/>
      <c r="I186" s="890"/>
      <c r="J186" s="890"/>
      <c r="K186" s="890"/>
      <c r="L186" s="890" t="str">
        <f t="shared" si="201"/>
        <v>N</v>
      </c>
      <c r="M186" s="890" t="str">
        <f t="shared" si="201"/>
        <v>A</v>
      </c>
      <c r="N186" s="890" t="s">
        <v>453</v>
      </c>
      <c r="O186" s="890"/>
      <c r="P186" s="890" t="str">
        <f t="shared" si="202"/>
        <v>N</v>
      </c>
      <c r="Q186" s="890" t="str">
        <f t="shared" si="202"/>
        <v>A</v>
      </c>
      <c r="R186" s="890" t="str">
        <f t="shared" si="202"/>
        <v>N</v>
      </c>
      <c r="S186" s="890" t="str">
        <f t="shared" si="203"/>
        <v>N</v>
      </c>
      <c r="T186" s="890" t="str">
        <f t="shared" si="204"/>
        <v>N</v>
      </c>
      <c r="U186" s="890" t="str">
        <f t="shared" si="205"/>
        <v>A</v>
      </c>
      <c r="V186" s="890" t="str">
        <f t="shared" si="206"/>
        <v>A</v>
      </c>
      <c r="W186" s="890" t="str">
        <f t="shared" si="207"/>
        <v>A</v>
      </c>
      <c r="X186" s="890" t="str">
        <f t="shared" si="208"/>
        <v>A</v>
      </c>
      <c r="Y186" s="890" t="str">
        <f t="shared" si="209"/>
        <v>N</v>
      </c>
      <c r="Z186" s="890" t="str">
        <f t="shared" si="210"/>
        <v>N</v>
      </c>
      <c r="AA186" s="890" t="str">
        <f t="shared" si="211"/>
        <v>A</v>
      </c>
      <c r="AB186" s="890" t="str">
        <f t="shared" si="212"/>
        <v>A</v>
      </c>
      <c r="AC186" s="890" t="str">
        <f t="shared" si="213"/>
        <v>N</v>
      </c>
      <c r="AD186" s="891"/>
      <c r="AE186" s="884"/>
      <c r="AF186" s="885"/>
      <c r="AG186" s="886"/>
      <c r="AH186" s="887"/>
      <c r="AI186" s="888"/>
      <c r="AK186" s="252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</row>
    <row r="187" spans="2:51" x14ac:dyDescent="0.3">
      <c r="B187" s="1151"/>
      <c r="C187" s="766" t="s">
        <v>423</v>
      </c>
      <c r="D187" s="892" t="s">
        <v>453</v>
      </c>
      <c r="E187" s="890" t="s">
        <v>453</v>
      </c>
      <c r="F187" s="890" t="s">
        <v>453</v>
      </c>
      <c r="G187" s="890" t="str">
        <f t="shared" si="200"/>
        <v>A</v>
      </c>
      <c r="H187" s="890"/>
      <c r="I187" s="890"/>
      <c r="J187" s="890"/>
      <c r="K187" s="890"/>
      <c r="L187" s="890" t="str">
        <f t="shared" si="201"/>
        <v>N</v>
      </c>
      <c r="M187" s="890" t="str">
        <f t="shared" si="201"/>
        <v>A</v>
      </c>
      <c r="N187" s="890" t="s">
        <v>453</v>
      </c>
      <c r="O187" s="890"/>
      <c r="P187" s="890" t="str">
        <f t="shared" si="202"/>
        <v>N</v>
      </c>
      <c r="Q187" s="890" t="str">
        <f t="shared" si="202"/>
        <v>A</v>
      </c>
      <c r="R187" s="890" t="str">
        <f t="shared" si="202"/>
        <v>N</v>
      </c>
      <c r="S187" s="890" t="str">
        <f t="shared" si="203"/>
        <v>N</v>
      </c>
      <c r="T187" s="890" t="str">
        <f t="shared" si="204"/>
        <v>N</v>
      </c>
      <c r="U187" s="890" t="str">
        <f t="shared" si="205"/>
        <v>A</v>
      </c>
      <c r="V187" s="890" t="str">
        <f t="shared" si="206"/>
        <v>A</v>
      </c>
      <c r="W187" s="890" t="str">
        <f t="shared" si="207"/>
        <v>A</v>
      </c>
      <c r="X187" s="890" t="str">
        <f t="shared" si="208"/>
        <v>A</v>
      </c>
      <c r="Y187" s="890" t="str">
        <f t="shared" si="209"/>
        <v>N</v>
      </c>
      <c r="Z187" s="890" t="str">
        <f t="shared" si="210"/>
        <v>N</v>
      </c>
      <c r="AA187" s="890" t="str">
        <f t="shared" si="211"/>
        <v>A</v>
      </c>
      <c r="AB187" s="890" t="str">
        <f t="shared" si="212"/>
        <v>A</v>
      </c>
      <c r="AC187" s="890" t="str">
        <f t="shared" si="213"/>
        <v>N</v>
      </c>
      <c r="AD187" s="891"/>
      <c r="AE187" s="884"/>
      <c r="AF187" s="885"/>
      <c r="AG187" s="886"/>
      <c r="AH187" s="887"/>
      <c r="AI187" s="888"/>
      <c r="AK187" s="252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</row>
    <row r="188" spans="2:51" x14ac:dyDescent="0.3">
      <c r="B188" s="1151"/>
      <c r="C188" s="766" t="s">
        <v>425</v>
      </c>
      <c r="D188" s="892" t="s">
        <v>453</v>
      </c>
      <c r="E188" s="890" t="s">
        <v>453</v>
      </c>
      <c r="F188" s="890" t="s">
        <v>453</v>
      </c>
      <c r="G188" s="890" t="str">
        <f t="shared" si="200"/>
        <v>N</v>
      </c>
      <c r="H188" s="890"/>
      <c r="I188" s="890"/>
      <c r="J188" s="890"/>
      <c r="K188" s="890"/>
      <c r="L188" s="890" t="str">
        <f t="shared" si="201"/>
        <v>N</v>
      </c>
      <c r="M188" s="890" t="str">
        <f t="shared" si="201"/>
        <v>N</v>
      </c>
      <c r="N188" s="890" t="s">
        <v>453</v>
      </c>
      <c r="O188" s="890"/>
      <c r="P188" s="890" t="str">
        <f t="shared" si="202"/>
        <v>N</v>
      </c>
      <c r="Q188" s="890" t="str">
        <f t="shared" si="202"/>
        <v>N</v>
      </c>
      <c r="R188" s="890" t="str">
        <f t="shared" si="202"/>
        <v>N</v>
      </c>
      <c r="S188" s="890" t="str">
        <f t="shared" si="203"/>
        <v>N</v>
      </c>
      <c r="T188" s="890" t="str">
        <f t="shared" si="204"/>
        <v>N</v>
      </c>
      <c r="U188" s="890" t="str">
        <f t="shared" si="205"/>
        <v>N</v>
      </c>
      <c r="V188" s="890" t="str">
        <f t="shared" si="206"/>
        <v>A</v>
      </c>
      <c r="W188" s="890" t="str">
        <f t="shared" si="207"/>
        <v>N</v>
      </c>
      <c r="X188" s="890" t="str">
        <f t="shared" si="208"/>
        <v>N</v>
      </c>
      <c r="Y188" s="890" t="str">
        <f t="shared" si="209"/>
        <v>N</v>
      </c>
      <c r="Z188" s="890" t="str">
        <f t="shared" si="210"/>
        <v>N</v>
      </c>
      <c r="AA188" s="890" t="str">
        <f t="shared" si="211"/>
        <v>A</v>
      </c>
      <c r="AB188" s="890" t="str">
        <f t="shared" si="212"/>
        <v>N</v>
      </c>
      <c r="AC188" s="890" t="str">
        <f t="shared" si="213"/>
        <v>N</v>
      </c>
      <c r="AD188" s="891"/>
      <c r="AE188" s="884"/>
      <c r="AF188" s="885"/>
      <c r="AG188" s="886"/>
      <c r="AH188" s="887"/>
      <c r="AI188" s="888"/>
      <c r="AK188" s="252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</row>
    <row r="189" spans="2:51" x14ac:dyDescent="0.3">
      <c r="B189" s="1151"/>
      <c r="C189" s="766" t="s">
        <v>427</v>
      </c>
      <c r="D189" s="892" t="s">
        <v>453</v>
      </c>
      <c r="E189" s="890" t="s">
        <v>453</v>
      </c>
      <c r="F189" s="890" t="s">
        <v>453</v>
      </c>
      <c r="G189" s="890" t="str">
        <f t="shared" si="200"/>
        <v>A</v>
      </c>
      <c r="H189" s="890"/>
      <c r="I189" s="890"/>
      <c r="J189" s="890"/>
      <c r="K189" s="890"/>
      <c r="L189" s="890" t="str">
        <f t="shared" si="201"/>
        <v>A</v>
      </c>
      <c r="M189" s="890" t="str">
        <f t="shared" si="201"/>
        <v>A</v>
      </c>
      <c r="N189" s="890" t="s">
        <v>453</v>
      </c>
      <c r="O189" s="890"/>
      <c r="P189" s="890" t="str">
        <f t="shared" si="202"/>
        <v>N</v>
      </c>
      <c r="Q189" s="890" t="str">
        <f t="shared" si="202"/>
        <v>A</v>
      </c>
      <c r="R189" s="890" t="str">
        <f t="shared" si="202"/>
        <v>A</v>
      </c>
      <c r="S189" s="890" t="str">
        <f t="shared" si="203"/>
        <v>A</v>
      </c>
      <c r="T189" s="890" t="str">
        <f t="shared" si="204"/>
        <v>A</v>
      </c>
      <c r="U189" s="890" t="str">
        <f t="shared" si="205"/>
        <v>A</v>
      </c>
      <c r="V189" s="890" t="str">
        <f t="shared" si="206"/>
        <v>A</v>
      </c>
      <c r="W189" s="890" t="str">
        <f t="shared" si="207"/>
        <v>A</v>
      </c>
      <c r="X189" s="890" t="str">
        <f t="shared" si="208"/>
        <v>A</v>
      </c>
      <c r="Y189" s="890" t="str">
        <f t="shared" si="209"/>
        <v>A</v>
      </c>
      <c r="Z189" s="890" t="str">
        <f t="shared" si="210"/>
        <v>A</v>
      </c>
      <c r="AA189" s="890" t="str">
        <f t="shared" si="211"/>
        <v>A</v>
      </c>
      <c r="AB189" s="890" t="str">
        <f t="shared" si="212"/>
        <v>A</v>
      </c>
      <c r="AC189" s="890" t="str">
        <f t="shared" si="213"/>
        <v>A</v>
      </c>
      <c r="AD189" s="891"/>
      <c r="AE189" s="884"/>
      <c r="AF189" s="885"/>
      <c r="AG189" s="886"/>
      <c r="AH189" s="887"/>
      <c r="AI189" s="888"/>
      <c r="AK189" s="252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</row>
    <row r="190" spans="2:51" x14ac:dyDescent="0.3">
      <c r="B190" s="1151"/>
      <c r="C190" s="766" t="s">
        <v>429</v>
      </c>
      <c r="D190" s="892" t="s">
        <v>453</v>
      </c>
      <c r="E190" s="890" t="s">
        <v>453</v>
      </c>
      <c r="F190" s="890" t="s">
        <v>453</v>
      </c>
      <c r="G190" s="890" t="str">
        <f t="shared" si="200"/>
        <v>N</v>
      </c>
      <c r="H190" s="890"/>
      <c r="I190" s="890"/>
      <c r="J190" s="890"/>
      <c r="K190" s="890"/>
      <c r="L190" s="890" t="str">
        <f t="shared" si="201"/>
        <v>N</v>
      </c>
      <c r="M190" s="890" t="str">
        <f t="shared" si="201"/>
        <v>N</v>
      </c>
      <c r="N190" s="890" t="s">
        <v>453</v>
      </c>
      <c r="O190" s="890"/>
      <c r="P190" s="890" t="str">
        <f t="shared" si="202"/>
        <v>N</v>
      </c>
      <c r="Q190" s="890" t="str">
        <f t="shared" si="202"/>
        <v>N</v>
      </c>
      <c r="R190" s="890" t="str">
        <f t="shared" si="202"/>
        <v>N</v>
      </c>
      <c r="S190" s="890" t="str">
        <f t="shared" si="203"/>
        <v>N</v>
      </c>
      <c r="T190" s="890" t="str">
        <f t="shared" si="204"/>
        <v>N</v>
      </c>
      <c r="U190" s="890" t="str">
        <f t="shared" si="205"/>
        <v>N</v>
      </c>
      <c r="V190" s="890" t="str">
        <f t="shared" si="206"/>
        <v>N</v>
      </c>
      <c r="W190" s="890" t="str">
        <f t="shared" si="207"/>
        <v>N</v>
      </c>
      <c r="X190" s="890" t="str">
        <f t="shared" si="208"/>
        <v>N</v>
      </c>
      <c r="Y190" s="890" t="str">
        <f t="shared" si="209"/>
        <v>N</v>
      </c>
      <c r="Z190" s="890" t="str">
        <f t="shared" si="210"/>
        <v>N</v>
      </c>
      <c r="AA190" s="890" t="str">
        <f t="shared" si="211"/>
        <v>N</v>
      </c>
      <c r="AB190" s="890" t="str">
        <f t="shared" si="212"/>
        <v>N</v>
      </c>
      <c r="AC190" s="890" t="str">
        <f t="shared" si="213"/>
        <v>N</v>
      </c>
      <c r="AD190" s="891"/>
      <c r="AE190" s="884"/>
      <c r="AF190" s="885"/>
      <c r="AG190" s="886"/>
      <c r="AH190" s="887"/>
      <c r="AI190" s="888"/>
      <c r="AK190" s="252"/>
      <c r="AL190" s="254"/>
      <c r="AM190" s="254"/>
      <c r="AN190" s="254"/>
      <c r="AO190" s="254"/>
      <c r="AP190" s="254"/>
      <c r="AQ190" s="254"/>
      <c r="AR190" s="254"/>
      <c r="AS190" s="254"/>
      <c r="AT190" s="254"/>
      <c r="AU190" s="254"/>
      <c r="AV190" s="254"/>
      <c r="AW190" s="254"/>
      <c r="AX190" s="254"/>
      <c r="AY190" s="254"/>
    </row>
    <row r="191" spans="2:51" x14ac:dyDescent="0.3">
      <c r="B191" s="1151"/>
      <c r="C191" s="770" t="s">
        <v>431</v>
      </c>
      <c r="D191" s="892" t="s">
        <v>453</v>
      </c>
      <c r="E191" s="890" t="s">
        <v>453</v>
      </c>
      <c r="F191" s="890" t="s">
        <v>453</v>
      </c>
      <c r="G191" s="890" t="str">
        <f t="shared" si="200"/>
        <v>N</v>
      </c>
      <c r="H191" s="890"/>
      <c r="I191" s="890"/>
      <c r="J191" s="890"/>
      <c r="K191" s="890"/>
      <c r="L191" s="890" t="str">
        <f t="shared" si="201"/>
        <v>A</v>
      </c>
      <c r="M191" s="890" t="str">
        <f t="shared" si="201"/>
        <v>N</v>
      </c>
      <c r="N191" s="890" t="s">
        <v>453</v>
      </c>
      <c r="O191" s="890"/>
      <c r="P191" s="890" t="str">
        <f t="shared" si="202"/>
        <v>N</v>
      </c>
      <c r="Q191" s="890" t="str">
        <f t="shared" si="202"/>
        <v>N</v>
      </c>
      <c r="R191" s="890" t="str">
        <f t="shared" si="202"/>
        <v>A</v>
      </c>
      <c r="S191" s="890" t="str">
        <f t="shared" si="203"/>
        <v>A</v>
      </c>
      <c r="T191" s="890" t="str">
        <f t="shared" si="204"/>
        <v>A</v>
      </c>
      <c r="U191" s="890" t="str">
        <f t="shared" si="205"/>
        <v>N</v>
      </c>
      <c r="V191" s="890" t="str">
        <f t="shared" si="206"/>
        <v>A</v>
      </c>
      <c r="W191" s="890" t="str">
        <f t="shared" si="207"/>
        <v>N</v>
      </c>
      <c r="X191" s="890" t="str">
        <f t="shared" si="208"/>
        <v>N</v>
      </c>
      <c r="Y191" s="890" t="str">
        <f t="shared" si="209"/>
        <v>A</v>
      </c>
      <c r="Z191" s="890" t="str">
        <f t="shared" si="210"/>
        <v>A</v>
      </c>
      <c r="AA191" s="890" t="str">
        <f t="shared" si="211"/>
        <v>A</v>
      </c>
      <c r="AB191" s="890" t="str">
        <f t="shared" si="212"/>
        <v>N</v>
      </c>
      <c r="AC191" s="890" t="str">
        <f t="shared" si="213"/>
        <v>A</v>
      </c>
      <c r="AD191" s="891"/>
      <c r="AE191" s="884"/>
      <c r="AF191" s="885"/>
      <c r="AG191" s="886"/>
      <c r="AH191" s="887"/>
      <c r="AI191" s="888"/>
      <c r="AK191" s="252"/>
      <c r="AL191" s="254"/>
      <c r="AM191" s="254"/>
      <c r="AN191" s="254"/>
      <c r="AO191" s="254"/>
      <c r="AP191" s="254"/>
      <c r="AQ191" s="254"/>
      <c r="AR191" s="254"/>
      <c r="AS191" s="254"/>
      <c r="AT191" s="254"/>
      <c r="AU191" s="254"/>
      <c r="AV191" s="254"/>
      <c r="AW191" s="254"/>
      <c r="AX191" s="254"/>
      <c r="AY191" s="254"/>
    </row>
    <row r="192" spans="2:51" x14ac:dyDescent="0.3">
      <c r="B192" s="893"/>
      <c r="C192" s="894" t="s">
        <v>461</v>
      </c>
      <c r="D192" s="895">
        <v>0</v>
      </c>
      <c r="E192" s="896">
        <v>0</v>
      </c>
      <c r="F192" s="897">
        <v>0</v>
      </c>
      <c r="G192" s="897">
        <f t="shared" si="200"/>
        <v>0.25</v>
      </c>
      <c r="H192" s="897"/>
      <c r="I192" s="897"/>
      <c r="J192" s="897"/>
      <c r="K192" s="897"/>
      <c r="L192" s="897">
        <f t="shared" si="201"/>
        <v>0.2</v>
      </c>
      <c r="M192" s="897">
        <f t="shared" si="201"/>
        <v>0.25</v>
      </c>
      <c r="N192" s="897">
        <v>0</v>
      </c>
      <c r="O192" s="897"/>
      <c r="P192" s="897">
        <f t="shared" si="202"/>
        <v>0</v>
      </c>
      <c r="Q192" s="897">
        <f t="shared" si="202"/>
        <v>0.25</v>
      </c>
      <c r="R192" s="897">
        <f t="shared" si="202"/>
        <v>0.2</v>
      </c>
      <c r="S192" s="897">
        <f t="shared" si="203"/>
        <v>0.2</v>
      </c>
      <c r="T192" s="897">
        <f t="shared" si="204"/>
        <v>0.2</v>
      </c>
      <c r="U192" s="897">
        <f t="shared" si="205"/>
        <v>0.25</v>
      </c>
      <c r="V192" s="897">
        <f t="shared" si="206"/>
        <v>0.35</v>
      </c>
      <c r="W192" s="897">
        <f t="shared" ref="W192" si="214">W20</f>
        <v>0.25</v>
      </c>
      <c r="X192" s="897">
        <f t="shared" si="208"/>
        <v>0.25</v>
      </c>
      <c r="Y192" s="897">
        <f t="shared" si="209"/>
        <v>0.2</v>
      </c>
      <c r="Z192" s="897">
        <f t="shared" si="210"/>
        <v>0.2</v>
      </c>
      <c r="AA192" s="897">
        <f t="shared" si="211"/>
        <v>0.35</v>
      </c>
      <c r="AB192" s="897">
        <f t="shared" si="212"/>
        <v>0.25</v>
      </c>
      <c r="AC192" s="897">
        <f t="shared" si="213"/>
        <v>0.2</v>
      </c>
      <c r="AD192" s="898"/>
      <c r="AE192" s="899"/>
      <c r="AF192" s="900"/>
      <c r="AG192" s="901"/>
      <c r="AH192" s="901"/>
      <c r="AI192" s="902"/>
      <c r="AK192" s="252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</row>
    <row r="193" spans="2:51" ht="86.4" customHeight="1" x14ac:dyDescent="0.3">
      <c r="B193" s="808" t="str">
        <f>'Procesy - AS IS'!B49</f>
        <v>Meranie č. 14</v>
      </c>
      <c r="C193" s="769" t="str">
        <f>'Procesy - AS IS'!$C$49</f>
        <v>HANYX s.r.o. Lučenec, Podnet - subjekt vykonáva mobilný zber a prepravu komunálneho odpadu bez zmluvy s mestom (Kontrola obcí pri nakladaní s komunálnym odpadom), 8212-36652/44/2017/Kov</v>
      </c>
      <c r="D193" s="872">
        <f>-'Procesy - AS IS'!D51*D206</f>
        <v>0</v>
      </c>
      <c r="E193" s="752">
        <f>-'Procesy - AS IS'!E51*E206</f>
        <v>0</v>
      </c>
      <c r="F193" s="752">
        <f>-'Procesy - AS IS'!F51*F206</f>
        <v>0</v>
      </c>
      <c r="G193" s="752">
        <f>-'Procesy - AS IS'!G51*G206</f>
        <v>-4</v>
      </c>
      <c r="H193" s="752" t="s">
        <v>523</v>
      </c>
      <c r="I193" s="752" t="s">
        <v>523</v>
      </c>
      <c r="J193" s="752" t="s">
        <v>523</v>
      </c>
      <c r="K193" s="752" t="s">
        <v>523</v>
      </c>
      <c r="L193" s="752">
        <f>-'Procesy - AS IS'!L51*L206</f>
        <v>-0.05</v>
      </c>
      <c r="M193" s="752">
        <f>-'Procesy - AS IS'!M51*M206</f>
        <v>-0.1875</v>
      </c>
      <c r="N193" s="752">
        <f>-'Procesy - AS IS'!N51*N206</f>
        <v>0</v>
      </c>
      <c r="O193" s="752" t="s">
        <v>524</v>
      </c>
      <c r="P193" s="752">
        <f>-'Procesy - AS IS'!P51*P206</f>
        <v>0</v>
      </c>
      <c r="Q193" s="752">
        <f>-'Procesy - AS IS'!Q51*Q206</f>
        <v>0</v>
      </c>
      <c r="R193" s="752">
        <f>-'Procesy - AS IS'!R51*R206</f>
        <v>-1.5406637656686368</v>
      </c>
      <c r="S193" s="752">
        <f>-'Procesy - AS IS'!S51*S206</f>
        <v>-3.259336234331363</v>
      </c>
      <c r="T193" s="752">
        <f>-'Procesy - AS IS'!T51*T206</f>
        <v>-0.77033188283431842</v>
      </c>
      <c r="U193" s="752">
        <f>-'Procesy - AS IS'!U51*U206</f>
        <v>-0.50927128661427545</v>
      </c>
      <c r="V193" s="752">
        <f>-'Procesy - AS IS'!V51*V206</f>
        <v>-0.17499999999999999</v>
      </c>
      <c r="W193" s="752">
        <f>-'Procesy - AS IS'!W51*W206</f>
        <v>-2.3876404494382022E-2</v>
      </c>
      <c r="X193" s="752">
        <f>-'Procesy - AS IS'!X51*X206</f>
        <v>0</v>
      </c>
      <c r="Y193" s="752">
        <f>-'Procesy - AS IS'!Y51*Y206</f>
        <v>-0.61123595505617978</v>
      </c>
      <c r="Z193" s="752">
        <f>-'Procesy - AS IS'!Z51*Z206</f>
        <v>-2.2471910112359553E-3</v>
      </c>
      <c r="AA193" s="752">
        <f>-'Procesy - AS IS'!AA51*AA206</f>
        <v>-1.5730337078651683E-2</v>
      </c>
      <c r="AB193" s="752">
        <f>-'Procesy - AS IS'!AB51*AB206</f>
        <v>0</v>
      </c>
      <c r="AC193" s="752">
        <f>-'Procesy - AS IS'!AC51*AC206</f>
        <v>-0.1797752808988764</v>
      </c>
      <c r="AD193" s="903">
        <f>SUM(D193:AC193)</f>
        <v>-11.324968337987922</v>
      </c>
      <c r="AE193" s="880">
        <f>AD193/'Procesy - AS IS'!AD51</f>
        <v>-0.21169951254750088</v>
      </c>
      <c r="AF193" s="881">
        <f>'Procesy - AS IS'!AG51/(1+$AE193)-'Procesy - AS IS'!AG51</f>
        <v>23.901109940469112</v>
      </c>
      <c r="AG193" s="882">
        <f>'Procesy - AS IS'!AH51/(1+$AE193)-'Procesy - AS IS'!AH51</f>
        <v>7.671577925946508</v>
      </c>
      <c r="AH193" s="877">
        <f>'Procesy - AS IS'!AI51/(1+$AE193)-'Procesy - AS IS'!AI51</f>
        <v>4.5653805504266849</v>
      </c>
      <c r="AI193" s="878">
        <f>'Procesy - AS IS'!AJ51/(1+$AE193)-'Procesy - AS IS'!AJ51</f>
        <v>0.53710359416784526</v>
      </c>
      <c r="AK193" s="252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254"/>
      <c r="AW193" s="254"/>
      <c r="AX193" s="254"/>
      <c r="AY193" s="254"/>
    </row>
    <row r="194" spans="2:51" x14ac:dyDescent="0.3">
      <c r="B194" s="1150" t="s">
        <v>451</v>
      </c>
      <c r="C194" s="766" t="s">
        <v>409</v>
      </c>
      <c r="D194" s="771" t="s">
        <v>453</v>
      </c>
      <c r="E194" s="772" t="s">
        <v>453</v>
      </c>
      <c r="F194" s="890" t="s">
        <v>453</v>
      </c>
      <c r="G194" s="890" t="str">
        <f t="shared" ref="G194:G206" si="215">G152</f>
        <v>A</v>
      </c>
      <c r="H194" s="890"/>
      <c r="I194" s="890"/>
      <c r="J194" s="890"/>
      <c r="K194" s="890"/>
      <c r="L194" s="890" t="str">
        <f t="shared" ref="L194:M206" si="216">L180</f>
        <v>A</v>
      </c>
      <c r="M194" s="890" t="str">
        <f t="shared" si="216"/>
        <v>A</v>
      </c>
      <c r="N194" s="890" t="s">
        <v>453</v>
      </c>
      <c r="O194" s="890"/>
      <c r="P194" s="890" t="str">
        <f t="shared" ref="P194:R206" si="217">P152</f>
        <v>N</v>
      </c>
      <c r="Q194" s="890" t="str">
        <f t="shared" si="217"/>
        <v>A</v>
      </c>
      <c r="R194" s="890" t="str">
        <f t="shared" si="217"/>
        <v>A</v>
      </c>
      <c r="S194" s="890" t="str">
        <f t="shared" ref="S194:S206" si="218">R194</f>
        <v>A</v>
      </c>
      <c r="T194" s="890" t="str">
        <f t="shared" ref="T194:T206" si="219">R194</f>
        <v>A</v>
      </c>
      <c r="U194" s="890" t="str">
        <f t="shared" ref="U194:U206" si="220">G180</f>
        <v>A</v>
      </c>
      <c r="V194" s="890" t="str">
        <f t="shared" ref="V194:V206" si="221">V152</f>
        <v>A</v>
      </c>
      <c r="W194" s="890" t="str">
        <f t="shared" ref="W194:W205" si="222">W7</f>
        <v>A</v>
      </c>
      <c r="X194" s="890" t="str">
        <f t="shared" ref="X194:X206" si="223">G194</f>
        <v>A</v>
      </c>
      <c r="Y194" s="890" t="str">
        <f t="shared" ref="Y194:Y206" si="224">R194</f>
        <v>A</v>
      </c>
      <c r="Z194" s="890" t="str">
        <f t="shared" ref="Z194:Z206" si="225">R194</f>
        <v>A</v>
      </c>
      <c r="AA194" s="890" t="str">
        <f t="shared" ref="AA194:AA206" si="226">$V194</f>
        <v>A</v>
      </c>
      <c r="AB194" s="890" t="str">
        <f t="shared" ref="AB194:AB206" si="227">G194</f>
        <v>A</v>
      </c>
      <c r="AC194" s="890" t="str">
        <f t="shared" ref="AC194:AC206" si="228">R194</f>
        <v>A</v>
      </c>
      <c r="AD194" s="891"/>
      <c r="AE194" s="884"/>
      <c r="AF194" s="885"/>
      <c r="AG194" s="886"/>
      <c r="AH194" s="887"/>
      <c r="AI194" s="888"/>
      <c r="AK194" s="252"/>
      <c r="AL194" s="254"/>
      <c r="AM194" s="254"/>
      <c r="AN194" s="254"/>
      <c r="AO194" s="254"/>
      <c r="AP194" s="254"/>
      <c r="AQ194" s="254"/>
      <c r="AR194" s="254"/>
      <c r="AS194" s="254"/>
      <c r="AT194" s="254"/>
      <c r="AU194" s="254"/>
      <c r="AV194" s="254"/>
      <c r="AW194" s="254"/>
      <c r="AX194" s="254"/>
      <c r="AY194" s="254"/>
    </row>
    <row r="195" spans="2:51" x14ac:dyDescent="0.3">
      <c r="B195" s="1151"/>
      <c r="C195" s="766" t="s">
        <v>411</v>
      </c>
      <c r="D195" s="889" t="s">
        <v>453</v>
      </c>
      <c r="E195" s="890" t="s">
        <v>453</v>
      </c>
      <c r="F195" s="890" t="s">
        <v>453</v>
      </c>
      <c r="G195" s="890" t="str">
        <f t="shared" si="215"/>
        <v>N</v>
      </c>
      <c r="H195" s="890"/>
      <c r="I195" s="890"/>
      <c r="J195" s="890"/>
      <c r="K195" s="890"/>
      <c r="L195" s="890" t="str">
        <f t="shared" si="216"/>
        <v>N</v>
      </c>
      <c r="M195" s="890" t="str">
        <f t="shared" si="216"/>
        <v>N</v>
      </c>
      <c r="N195" s="890" t="s">
        <v>453</v>
      </c>
      <c r="O195" s="890"/>
      <c r="P195" s="890" t="str">
        <f t="shared" si="217"/>
        <v>N</v>
      </c>
      <c r="Q195" s="890" t="str">
        <f t="shared" si="217"/>
        <v>N</v>
      </c>
      <c r="R195" s="890" t="str">
        <f t="shared" si="217"/>
        <v>N</v>
      </c>
      <c r="S195" s="890" t="str">
        <f t="shared" si="218"/>
        <v>N</v>
      </c>
      <c r="T195" s="890" t="str">
        <f t="shared" si="219"/>
        <v>N</v>
      </c>
      <c r="U195" s="890" t="str">
        <f t="shared" si="220"/>
        <v>N</v>
      </c>
      <c r="V195" s="890" t="str">
        <f t="shared" si="221"/>
        <v>N</v>
      </c>
      <c r="W195" s="890" t="str">
        <f t="shared" si="222"/>
        <v>N</v>
      </c>
      <c r="X195" s="890" t="str">
        <f t="shared" si="223"/>
        <v>N</v>
      </c>
      <c r="Y195" s="890" t="str">
        <f t="shared" si="224"/>
        <v>N</v>
      </c>
      <c r="Z195" s="890" t="str">
        <f t="shared" si="225"/>
        <v>N</v>
      </c>
      <c r="AA195" s="890" t="str">
        <f t="shared" si="226"/>
        <v>N</v>
      </c>
      <c r="AB195" s="890" t="str">
        <f t="shared" si="227"/>
        <v>N</v>
      </c>
      <c r="AC195" s="890" t="str">
        <f t="shared" si="228"/>
        <v>N</v>
      </c>
      <c r="AD195" s="891"/>
      <c r="AE195" s="884"/>
      <c r="AF195" s="885"/>
      <c r="AG195" s="886"/>
      <c r="AH195" s="887"/>
      <c r="AI195" s="888"/>
      <c r="AK195" s="252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</row>
    <row r="196" spans="2:51" x14ac:dyDescent="0.3">
      <c r="B196" s="1151"/>
      <c r="C196" s="766" t="s">
        <v>413</v>
      </c>
      <c r="D196" s="889" t="s">
        <v>453</v>
      </c>
      <c r="E196" s="890" t="s">
        <v>453</v>
      </c>
      <c r="F196" s="890" t="s">
        <v>453</v>
      </c>
      <c r="G196" s="890" t="str">
        <f t="shared" si="215"/>
        <v>N</v>
      </c>
      <c r="H196" s="890"/>
      <c r="I196" s="890"/>
      <c r="J196" s="890"/>
      <c r="K196" s="890"/>
      <c r="L196" s="890" t="str">
        <f t="shared" si="216"/>
        <v>N</v>
      </c>
      <c r="M196" s="890" t="str">
        <f t="shared" si="216"/>
        <v>N</v>
      </c>
      <c r="N196" s="890" t="s">
        <v>453</v>
      </c>
      <c r="O196" s="890"/>
      <c r="P196" s="890" t="str">
        <f t="shared" si="217"/>
        <v>N</v>
      </c>
      <c r="Q196" s="890" t="str">
        <f t="shared" si="217"/>
        <v>N</v>
      </c>
      <c r="R196" s="890" t="str">
        <f t="shared" si="217"/>
        <v>N</v>
      </c>
      <c r="S196" s="890" t="str">
        <f t="shared" si="218"/>
        <v>N</v>
      </c>
      <c r="T196" s="890" t="str">
        <f t="shared" si="219"/>
        <v>N</v>
      </c>
      <c r="U196" s="890" t="str">
        <f t="shared" si="220"/>
        <v>N</v>
      </c>
      <c r="V196" s="890" t="str">
        <f t="shared" si="221"/>
        <v>N</v>
      </c>
      <c r="W196" s="890" t="str">
        <f t="shared" si="222"/>
        <v>N</v>
      </c>
      <c r="X196" s="890" t="str">
        <f t="shared" si="223"/>
        <v>N</v>
      </c>
      <c r="Y196" s="890" t="str">
        <f t="shared" si="224"/>
        <v>N</v>
      </c>
      <c r="Z196" s="890" t="str">
        <f t="shared" si="225"/>
        <v>N</v>
      </c>
      <c r="AA196" s="890" t="str">
        <f t="shared" si="226"/>
        <v>N</v>
      </c>
      <c r="AB196" s="890" t="str">
        <f t="shared" si="227"/>
        <v>N</v>
      </c>
      <c r="AC196" s="890" t="str">
        <f t="shared" si="228"/>
        <v>N</v>
      </c>
      <c r="AD196" s="891"/>
      <c r="AE196" s="884"/>
      <c r="AF196" s="885"/>
      <c r="AG196" s="886"/>
      <c r="AH196" s="887"/>
      <c r="AI196" s="888"/>
      <c r="AK196" s="252"/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254"/>
      <c r="AW196" s="254"/>
      <c r="AX196" s="254"/>
      <c r="AY196" s="254"/>
    </row>
    <row r="197" spans="2:51" x14ac:dyDescent="0.3">
      <c r="B197" s="1151"/>
      <c r="C197" s="766" t="s">
        <v>415</v>
      </c>
      <c r="D197" s="892" t="s">
        <v>453</v>
      </c>
      <c r="E197" s="890" t="s">
        <v>453</v>
      </c>
      <c r="F197" s="890" t="s">
        <v>453</v>
      </c>
      <c r="G197" s="890" t="str">
        <f t="shared" si="215"/>
        <v>N</v>
      </c>
      <c r="H197" s="890"/>
      <c r="I197" s="890"/>
      <c r="J197" s="890"/>
      <c r="K197" s="890"/>
      <c r="L197" s="890" t="str">
        <f t="shared" si="216"/>
        <v>N</v>
      </c>
      <c r="M197" s="890" t="str">
        <f t="shared" si="216"/>
        <v>N</v>
      </c>
      <c r="N197" s="890" t="s">
        <v>453</v>
      </c>
      <c r="O197" s="890"/>
      <c r="P197" s="890" t="str">
        <f t="shared" si="217"/>
        <v>N</v>
      </c>
      <c r="Q197" s="890" t="str">
        <f t="shared" si="217"/>
        <v>N</v>
      </c>
      <c r="R197" s="890" t="str">
        <f t="shared" si="217"/>
        <v>N</v>
      </c>
      <c r="S197" s="890" t="str">
        <f t="shared" si="218"/>
        <v>N</v>
      </c>
      <c r="T197" s="890" t="str">
        <f t="shared" si="219"/>
        <v>N</v>
      </c>
      <c r="U197" s="890" t="str">
        <f t="shared" si="220"/>
        <v>N</v>
      </c>
      <c r="V197" s="890" t="str">
        <f t="shared" si="221"/>
        <v>N</v>
      </c>
      <c r="W197" s="890" t="str">
        <f t="shared" si="222"/>
        <v>N</v>
      </c>
      <c r="X197" s="890" t="str">
        <f t="shared" si="223"/>
        <v>N</v>
      </c>
      <c r="Y197" s="890" t="str">
        <f t="shared" si="224"/>
        <v>N</v>
      </c>
      <c r="Z197" s="890" t="str">
        <f t="shared" si="225"/>
        <v>N</v>
      </c>
      <c r="AA197" s="890" t="str">
        <f t="shared" si="226"/>
        <v>N</v>
      </c>
      <c r="AB197" s="890" t="str">
        <f t="shared" si="227"/>
        <v>N</v>
      </c>
      <c r="AC197" s="890" t="str">
        <f t="shared" si="228"/>
        <v>N</v>
      </c>
      <c r="AD197" s="891"/>
      <c r="AE197" s="884"/>
      <c r="AF197" s="885"/>
      <c r="AG197" s="886"/>
      <c r="AH197" s="887"/>
      <c r="AI197" s="888"/>
      <c r="AK197" s="252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254"/>
      <c r="AW197" s="254"/>
      <c r="AX197" s="254"/>
      <c r="AY197" s="254"/>
    </row>
    <row r="198" spans="2:51" x14ac:dyDescent="0.3">
      <c r="B198" s="1151"/>
      <c r="C198" s="766" t="s">
        <v>417</v>
      </c>
      <c r="D198" s="892" t="s">
        <v>453</v>
      </c>
      <c r="E198" s="890" t="s">
        <v>453</v>
      </c>
      <c r="F198" s="890" t="s">
        <v>453</v>
      </c>
      <c r="G198" s="890" t="str">
        <f t="shared" si="215"/>
        <v>A</v>
      </c>
      <c r="H198" s="890"/>
      <c r="I198" s="890"/>
      <c r="J198" s="890"/>
      <c r="K198" s="890"/>
      <c r="L198" s="890" t="str">
        <f t="shared" si="216"/>
        <v>A</v>
      </c>
      <c r="M198" s="890" t="str">
        <f t="shared" si="216"/>
        <v>A</v>
      </c>
      <c r="N198" s="890" t="s">
        <v>453</v>
      </c>
      <c r="O198" s="890"/>
      <c r="P198" s="890" t="str">
        <f t="shared" si="217"/>
        <v>N</v>
      </c>
      <c r="Q198" s="890" t="str">
        <f t="shared" si="217"/>
        <v>A</v>
      </c>
      <c r="R198" s="890" t="str">
        <f t="shared" si="217"/>
        <v>A</v>
      </c>
      <c r="S198" s="890" t="str">
        <f t="shared" si="218"/>
        <v>A</v>
      </c>
      <c r="T198" s="890" t="str">
        <f t="shared" si="219"/>
        <v>A</v>
      </c>
      <c r="U198" s="890" t="str">
        <f t="shared" si="220"/>
        <v>A</v>
      </c>
      <c r="V198" s="890" t="str">
        <f t="shared" si="221"/>
        <v>A</v>
      </c>
      <c r="W198" s="890" t="str">
        <f t="shared" si="222"/>
        <v>A</v>
      </c>
      <c r="X198" s="890" t="str">
        <f t="shared" si="223"/>
        <v>A</v>
      </c>
      <c r="Y198" s="890" t="str">
        <f t="shared" si="224"/>
        <v>A</v>
      </c>
      <c r="Z198" s="890" t="str">
        <f t="shared" si="225"/>
        <v>A</v>
      </c>
      <c r="AA198" s="890" t="str">
        <f t="shared" si="226"/>
        <v>A</v>
      </c>
      <c r="AB198" s="890" t="str">
        <f t="shared" si="227"/>
        <v>A</v>
      </c>
      <c r="AC198" s="890" t="str">
        <f t="shared" si="228"/>
        <v>A</v>
      </c>
      <c r="AD198" s="891"/>
      <c r="AE198" s="884"/>
      <c r="AF198" s="885"/>
      <c r="AG198" s="886"/>
      <c r="AH198" s="887"/>
      <c r="AI198" s="888"/>
      <c r="AK198" s="252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</row>
    <row r="199" spans="2:51" x14ac:dyDescent="0.3">
      <c r="B199" s="1151"/>
      <c r="C199" s="766" t="s">
        <v>419</v>
      </c>
      <c r="D199" s="892" t="s">
        <v>453</v>
      </c>
      <c r="E199" s="890" t="s">
        <v>453</v>
      </c>
      <c r="F199" s="890" t="s">
        <v>453</v>
      </c>
      <c r="G199" s="890" t="str">
        <f t="shared" si="215"/>
        <v>A</v>
      </c>
      <c r="H199" s="890"/>
      <c r="I199" s="890"/>
      <c r="J199" s="890"/>
      <c r="K199" s="890"/>
      <c r="L199" s="890" t="str">
        <f t="shared" si="216"/>
        <v>A</v>
      </c>
      <c r="M199" s="890" t="str">
        <f t="shared" si="216"/>
        <v>A</v>
      </c>
      <c r="N199" s="890" t="s">
        <v>453</v>
      </c>
      <c r="O199" s="890"/>
      <c r="P199" s="890" t="str">
        <f t="shared" si="217"/>
        <v>N</v>
      </c>
      <c r="Q199" s="890" t="str">
        <f t="shared" si="217"/>
        <v>A</v>
      </c>
      <c r="R199" s="890" t="str">
        <f t="shared" si="217"/>
        <v>A</v>
      </c>
      <c r="S199" s="890" t="str">
        <f t="shared" si="218"/>
        <v>A</v>
      </c>
      <c r="T199" s="890" t="str">
        <f t="shared" si="219"/>
        <v>A</v>
      </c>
      <c r="U199" s="890" t="str">
        <f t="shared" si="220"/>
        <v>A</v>
      </c>
      <c r="V199" s="890" t="str">
        <f t="shared" si="221"/>
        <v>A</v>
      </c>
      <c r="W199" s="890" t="str">
        <f t="shared" si="222"/>
        <v>A</v>
      </c>
      <c r="X199" s="890" t="str">
        <f t="shared" si="223"/>
        <v>A</v>
      </c>
      <c r="Y199" s="890" t="str">
        <f t="shared" si="224"/>
        <v>A</v>
      </c>
      <c r="Z199" s="890" t="str">
        <f t="shared" si="225"/>
        <v>A</v>
      </c>
      <c r="AA199" s="890" t="str">
        <f t="shared" si="226"/>
        <v>A</v>
      </c>
      <c r="AB199" s="890" t="str">
        <f t="shared" si="227"/>
        <v>A</v>
      </c>
      <c r="AC199" s="890" t="str">
        <f t="shared" si="228"/>
        <v>A</v>
      </c>
      <c r="AD199" s="891"/>
      <c r="AE199" s="884"/>
      <c r="AF199" s="885"/>
      <c r="AG199" s="886"/>
      <c r="AH199" s="887"/>
      <c r="AI199" s="888"/>
      <c r="AK199" s="252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254"/>
      <c r="AW199" s="254"/>
      <c r="AX199" s="254"/>
      <c r="AY199" s="254"/>
    </row>
    <row r="200" spans="2:51" x14ac:dyDescent="0.3">
      <c r="B200" s="1151"/>
      <c r="C200" s="766" t="s">
        <v>421</v>
      </c>
      <c r="D200" s="892" t="s">
        <v>453</v>
      </c>
      <c r="E200" s="890" t="s">
        <v>453</v>
      </c>
      <c r="F200" s="890" t="s">
        <v>453</v>
      </c>
      <c r="G200" s="890" t="str">
        <f t="shared" si="215"/>
        <v>A</v>
      </c>
      <c r="H200" s="890"/>
      <c r="I200" s="890"/>
      <c r="J200" s="890"/>
      <c r="K200" s="890"/>
      <c r="L200" s="890" t="str">
        <f t="shared" si="216"/>
        <v>N</v>
      </c>
      <c r="M200" s="890" t="str">
        <f t="shared" si="216"/>
        <v>A</v>
      </c>
      <c r="N200" s="890" t="s">
        <v>453</v>
      </c>
      <c r="O200" s="890"/>
      <c r="P200" s="890" t="str">
        <f t="shared" si="217"/>
        <v>N</v>
      </c>
      <c r="Q200" s="890" t="str">
        <f t="shared" si="217"/>
        <v>A</v>
      </c>
      <c r="R200" s="890" t="str">
        <f t="shared" si="217"/>
        <v>N</v>
      </c>
      <c r="S200" s="890" t="str">
        <f t="shared" si="218"/>
        <v>N</v>
      </c>
      <c r="T200" s="890" t="str">
        <f t="shared" si="219"/>
        <v>N</v>
      </c>
      <c r="U200" s="890" t="str">
        <f t="shared" si="220"/>
        <v>A</v>
      </c>
      <c r="V200" s="890" t="str">
        <f t="shared" si="221"/>
        <v>A</v>
      </c>
      <c r="W200" s="890" t="str">
        <f t="shared" si="222"/>
        <v>A</v>
      </c>
      <c r="X200" s="890" t="str">
        <f t="shared" si="223"/>
        <v>A</v>
      </c>
      <c r="Y200" s="890" t="str">
        <f t="shared" si="224"/>
        <v>N</v>
      </c>
      <c r="Z200" s="890" t="str">
        <f t="shared" si="225"/>
        <v>N</v>
      </c>
      <c r="AA200" s="890" t="str">
        <f t="shared" si="226"/>
        <v>A</v>
      </c>
      <c r="AB200" s="890" t="str">
        <f t="shared" si="227"/>
        <v>A</v>
      </c>
      <c r="AC200" s="890" t="str">
        <f t="shared" si="228"/>
        <v>N</v>
      </c>
      <c r="AD200" s="891"/>
      <c r="AE200" s="884"/>
      <c r="AF200" s="885"/>
      <c r="AG200" s="886"/>
      <c r="AH200" s="887"/>
      <c r="AI200" s="888"/>
      <c r="AK200" s="252"/>
      <c r="AL200" s="254"/>
      <c r="AM200" s="254"/>
      <c r="AN200" s="254"/>
      <c r="AO200" s="254"/>
      <c r="AP200" s="254"/>
      <c r="AQ200" s="254"/>
      <c r="AR200" s="254"/>
      <c r="AS200" s="254"/>
      <c r="AT200" s="254"/>
      <c r="AU200" s="254"/>
      <c r="AV200" s="254"/>
      <c r="AW200" s="254"/>
      <c r="AX200" s="254"/>
      <c r="AY200" s="254"/>
    </row>
    <row r="201" spans="2:51" x14ac:dyDescent="0.3">
      <c r="B201" s="1151"/>
      <c r="C201" s="766" t="s">
        <v>423</v>
      </c>
      <c r="D201" s="892" t="s">
        <v>453</v>
      </c>
      <c r="E201" s="890" t="s">
        <v>453</v>
      </c>
      <c r="F201" s="890" t="s">
        <v>453</v>
      </c>
      <c r="G201" s="890" t="str">
        <f t="shared" si="215"/>
        <v>A</v>
      </c>
      <c r="H201" s="890"/>
      <c r="I201" s="890"/>
      <c r="J201" s="890"/>
      <c r="K201" s="890"/>
      <c r="L201" s="890" t="str">
        <f t="shared" si="216"/>
        <v>N</v>
      </c>
      <c r="M201" s="890" t="str">
        <f t="shared" si="216"/>
        <v>A</v>
      </c>
      <c r="N201" s="890" t="s">
        <v>453</v>
      </c>
      <c r="O201" s="890"/>
      <c r="P201" s="890" t="str">
        <f t="shared" si="217"/>
        <v>N</v>
      </c>
      <c r="Q201" s="890" t="str">
        <f t="shared" si="217"/>
        <v>A</v>
      </c>
      <c r="R201" s="890" t="str">
        <f t="shared" si="217"/>
        <v>N</v>
      </c>
      <c r="S201" s="890" t="str">
        <f t="shared" si="218"/>
        <v>N</v>
      </c>
      <c r="T201" s="890" t="str">
        <f t="shared" si="219"/>
        <v>N</v>
      </c>
      <c r="U201" s="890" t="str">
        <f t="shared" si="220"/>
        <v>A</v>
      </c>
      <c r="V201" s="890" t="str">
        <f t="shared" si="221"/>
        <v>A</v>
      </c>
      <c r="W201" s="890" t="str">
        <f t="shared" si="222"/>
        <v>A</v>
      </c>
      <c r="X201" s="890" t="str">
        <f t="shared" si="223"/>
        <v>A</v>
      </c>
      <c r="Y201" s="890" t="str">
        <f t="shared" si="224"/>
        <v>N</v>
      </c>
      <c r="Z201" s="890" t="str">
        <f t="shared" si="225"/>
        <v>N</v>
      </c>
      <c r="AA201" s="890" t="str">
        <f t="shared" si="226"/>
        <v>A</v>
      </c>
      <c r="AB201" s="890" t="str">
        <f t="shared" si="227"/>
        <v>A</v>
      </c>
      <c r="AC201" s="890" t="str">
        <f t="shared" si="228"/>
        <v>N</v>
      </c>
      <c r="AD201" s="891"/>
      <c r="AE201" s="884"/>
      <c r="AF201" s="885"/>
      <c r="AG201" s="886"/>
      <c r="AH201" s="887"/>
      <c r="AI201" s="888"/>
      <c r="AK201" s="252"/>
      <c r="AL201" s="254"/>
      <c r="AM201" s="254"/>
      <c r="AN201" s="254"/>
      <c r="AO201" s="254"/>
      <c r="AP201" s="254"/>
      <c r="AQ201" s="254"/>
      <c r="AR201" s="254"/>
      <c r="AS201" s="254"/>
      <c r="AT201" s="254"/>
      <c r="AU201" s="254"/>
      <c r="AV201" s="254"/>
      <c r="AW201" s="254"/>
      <c r="AX201" s="254"/>
      <c r="AY201" s="254"/>
    </row>
    <row r="202" spans="2:51" x14ac:dyDescent="0.3">
      <c r="B202" s="1151"/>
      <c r="C202" s="766" t="s">
        <v>425</v>
      </c>
      <c r="D202" s="892" t="s">
        <v>453</v>
      </c>
      <c r="E202" s="890" t="s">
        <v>453</v>
      </c>
      <c r="F202" s="890" t="s">
        <v>453</v>
      </c>
      <c r="G202" s="890" t="str">
        <f t="shared" si="215"/>
        <v>N</v>
      </c>
      <c r="H202" s="890"/>
      <c r="I202" s="890"/>
      <c r="J202" s="890"/>
      <c r="K202" s="890"/>
      <c r="L202" s="890" t="str">
        <f t="shared" si="216"/>
        <v>N</v>
      </c>
      <c r="M202" s="890" t="str">
        <f t="shared" si="216"/>
        <v>N</v>
      </c>
      <c r="N202" s="890" t="s">
        <v>453</v>
      </c>
      <c r="O202" s="890"/>
      <c r="P202" s="890" t="str">
        <f t="shared" si="217"/>
        <v>N</v>
      </c>
      <c r="Q202" s="890" t="str">
        <f t="shared" si="217"/>
        <v>N</v>
      </c>
      <c r="R202" s="890" t="str">
        <f t="shared" si="217"/>
        <v>N</v>
      </c>
      <c r="S202" s="890" t="str">
        <f t="shared" si="218"/>
        <v>N</v>
      </c>
      <c r="T202" s="890" t="str">
        <f t="shared" si="219"/>
        <v>N</v>
      </c>
      <c r="U202" s="890" t="str">
        <f t="shared" si="220"/>
        <v>N</v>
      </c>
      <c r="V202" s="890" t="str">
        <f t="shared" si="221"/>
        <v>A</v>
      </c>
      <c r="W202" s="890" t="str">
        <f t="shared" si="222"/>
        <v>N</v>
      </c>
      <c r="X202" s="890" t="str">
        <f t="shared" si="223"/>
        <v>N</v>
      </c>
      <c r="Y202" s="890" t="str">
        <f t="shared" si="224"/>
        <v>N</v>
      </c>
      <c r="Z202" s="890" t="str">
        <f t="shared" si="225"/>
        <v>N</v>
      </c>
      <c r="AA202" s="890" t="str">
        <f t="shared" si="226"/>
        <v>A</v>
      </c>
      <c r="AB202" s="890" t="str">
        <f t="shared" si="227"/>
        <v>N</v>
      </c>
      <c r="AC202" s="890" t="str">
        <f t="shared" si="228"/>
        <v>N</v>
      </c>
      <c r="AD202" s="891"/>
      <c r="AE202" s="884"/>
      <c r="AF202" s="885"/>
      <c r="AG202" s="886"/>
      <c r="AH202" s="887"/>
      <c r="AI202" s="888"/>
      <c r="AK202" s="252"/>
      <c r="AL202" s="254"/>
      <c r="AM202" s="254"/>
      <c r="AN202" s="254"/>
      <c r="AO202" s="254"/>
      <c r="AP202" s="254"/>
      <c r="AQ202" s="254"/>
      <c r="AR202" s="254"/>
      <c r="AS202" s="254"/>
      <c r="AT202" s="254"/>
      <c r="AU202" s="254"/>
      <c r="AV202" s="254"/>
      <c r="AW202" s="254"/>
      <c r="AX202" s="254"/>
      <c r="AY202" s="254"/>
    </row>
    <row r="203" spans="2:51" x14ac:dyDescent="0.3">
      <c r="B203" s="1151"/>
      <c r="C203" s="766" t="s">
        <v>427</v>
      </c>
      <c r="D203" s="892" t="s">
        <v>453</v>
      </c>
      <c r="E203" s="890" t="s">
        <v>453</v>
      </c>
      <c r="F203" s="890" t="s">
        <v>453</v>
      </c>
      <c r="G203" s="890" t="str">
        <f t="shared" si="215"/>
        <v>A</v>
      </c>
      <c r="H203" s="890"/>
      <c r="I203" s="890"/>
      <c r="J203" s="890"/>
      <c r="K203" s="890"/>
      <c r="L203" s="890" t="str">
        <f t="shared" si="216"/>
        <v>A</v>
      </c>
      <c r="M203" s="890" t="str">
        <f t="shared" si="216"/>
        <v>A</v>
      </c>
      <c r="N203" s="890" t="s">
        <v>453</v>
      </c>
      <c r="O203" s="890"/>
      <c r="P203" s="890" t="str">
        <f t="shared" si="217"/>
        <v>N</v>
      </c>
      <c r="Q203" s="890" t="str">
        <f t="shared" si="217"/>
        <v>A</v>
      </c>
      <c r="R203" s="890" t="str">
        <f t="shared" si="217"/>
        <v>A</v>
      </c>
      <c r="S203" s="890" t="str">
        <f t="shared" si="218"/>
        <v>A</v>
      </c>
      <c r="T203" s="890" t="str">
        <f t="shared" si="219"/>
        <v>A</v>
      </c>
      <c r="U203" s="890" t="str">
        <f t="shared" si="220"/>
        <v>A</v>
      </c>
      <c r="V203" s="890" t="str">
        <f t="shared" si="221"/>
        <v>A</v>
      </c>
      <c r="W203" s="890" t="str">
        <f t="shared" si="222"/>
        <v>A</v>
      </c>
      <c r="X203" s="890" t="str">
        <f t="shared" si="223"/>
        <v>A</v>
      </c>
      <c r="Y203" s="890" t="str">
        <f t="shared" si="224"/>
        <v>A</v>
      </c>
      <c r="Z203" s="890" t="str">
        <f t="shared" si="225"/>
        <v>A</v>
      </c>
      <c r="AA203" s="890" t="str">
        <f t="shared" si="226"/>
        <v>A</v>
      </c>
      <c r="AB203" s="890" t="str">
        <f t="shared" si="227"/>
        <v>A</v>
      </c>
      <c r="AC203" s="890" t="str">
        <f t="shared" si="228"/>
        <v>A</v>
      </c>
      <c r="AD203" s="891"/>
      <c r="AE203" s="884"/>
      <c r="AF203" s="885"/>
      <c r="AG203" s="886"/>
      <c r="AH203" s="887"/>
      <c r="AI203" s="888"/>
      <c r="AK203" s="252"/>
      <c r="AL203" s="254"/>
      <c r="AM203" s="254"/>
      <c r="AN203" s="254"/>
      <c r="AO203" s="254"/>
      <c r="AP203" s="254"/>
      <c r="AQ203" s="254"/>
      <c r="AR203" s="254"/>
      <c r="AS203" s="254"/>
      <c r="AT203" s="254"/>
      <c r="AU203" s="254"/>
      <c r="AV203" s="254"/>
      <c r="AW203" s="254"/>
      <c r="AX203" s="254"/>
      <c r="AY203" s="254"/>
    </row>
    <row r="204" spans="2:51" x14ac:dyDescent="0.3">
      <c r="B204" s="1151"/>
      <c r="C204" s="766" t="s">
        <v>429</v>
      </c>
      <c r="D204" s="892" t="s">
        <v>453</v>
      </c>
      <c r="E204" s="890" t="s">
        <v>453</v>
      </c>
      <c r="F204" s="890" t="s">
        <v>453</v>
      </c>
      <c r="G204" s="890" t="str">
        <f t="shared" si="215"/>
        <v>N</v>
      </c>
      <c r="H204" s="890"/>
      <c r="I204" s="890"/>
      <c r="J204" s="890"/>
      <c r="K204" s="890"/>
      <c r="L204" s="890" t="str">
        <f t="shared" si="216"/>
        <v>N</v>
      </c>
      <c r="M204" s="890" t="str">
        <f t="shared" si="216"/>
        <v>N</v>
      </c>
      <c r="N204" s="890" t="s">
        <v>453</v>
      </c>
      <c r="O204" s="890"/>
      <c r="P204" s="890" t="str">
        <f t="shared" si="217"/>
        <v>N</v>
      </c>
      <c r="Q204" s="890" t="str">
        <f t="shared" si="217"/>
        <v>N</v>
      </c>
      <c r="R204" s="890" t="str">
        <f t="shared" si="217"/>
        <v>N</v>
      </c>
      <c r="S204" s="890" t="str">
        <f t="shared" si="218"/>
        <v>N</v>
      </c>
      <c r="T204" s="890" t="str">
        <f t="shared" si="219"/>
        <v>N</v>
      </c>
      <c r="U204" s="890" t="str">
        <f t="shared" si="220"/>
        <v>N</v>
      </c>
      <c r="V204" s="890" t="str">
        <f t="shared" si="221"/>
        <v>N</v>
      </c>
      <c r="W204" s="890" t="str">
        <f t="shared" si="222"/>
        <v>N</v>
      </c>
      <c r="X204" s="890" t="str">
        <f t="shared" si="223"/>
        <v>N</v>
      </c>
      <c r="Y204" s="890" t="str">
        <f t="shared" si="224"/>
        <v>N</v>
      </c>
      <c r="Z204" s="890" t="str">
        <f t="shared" si="225"/>
        <v>N</v>
      </c>
      <c r="AA204" s="890" t="str">
        <f t="shared" si="226"/>
        <v>N</v>
      </c>
      <c r="AB204" s="890" t="str">
        <f t="shared" si="227"/>
        <v>N</v>
      </c>
      <c r="AC204" s="890" t="str">
        <f t="shared" si="228"/>
        <v>N</v>
      </c>
      <c r="AD204" s="891"/>
      <c r="AE204" s="884"/>
      <c r="AF204" s="885"/>
      <c r="AG204" s="886"/>
      <c r="AH204" s="887"/>
      <c r="AI204" s="888"/>
      <c r="AK204" s="252"/>
      <c r="AL204" s="254"/>
      <c r="AM204" s="254"/>
      <c r="AN204" s="254"/>
      <c r="AO204" s="254"/>
      <c r="AP204" s="254"/>
      <c r="AQ204" s="254"/>
      <c r="AR204" s="254"/>
      <c r="AS204" s="254"/>
      <c r="AT204" s="254"/>
      <c r="AU204" s="254"/>
      <c r="AV204" s="254"/>
      <c r="AW204" s="254"/>
      <c r="AX204" s="254"/>
      <c r="AY204" s="254"/>
    </row>
    <row r="205" spans="2:51" x14ac:dyDescent="0.3">
      <c r="B205" s="1151"/>
      <c r="C205" s="770" t="s">
        <v>431</v>
      </c>
      <c r="D205" s="892" t="s">
        <v>453</v>
      </c>
      <c r="E205" s="890" t="s">
        <v>453</v>
      </c>
      <c r="F205" s="890" t="s">
        <v>453</v>
      </c>
      <c r="G205" s="890" t="str">
        <f t="shared" si="215"/>
        <v>N</v>
      </c>
      <c r="H205" s="890"/>
      <c r="I205" s="890"/>
      <c r="J205" s="890"/>
      <c r="K205" s="890"/>
      <c r="L205" s="890" t="str">
        <f t="shared" si="216"/>
        <v>A</v>
      </c>
      <c r="M205" s="890" t="str">
        <f t="shared" si="216"/>
        <v>N</v>
      </c>
      <c r="N205" s="890" t="s">
        <v>453</v>
      </c>
      <c r="O205" s="890"/>
      <c r="P205" s="890" t="str">
        <f t="shared" si="217"/>
        <v>N</v>
      </c>
      <c r="Q205" s="890" t="str">
        <f t="shared" si="217"/>
        <v>N</v>
      </c>
      <c r="R205" s="890" t="str">
        <f t="shared" si="217"/>
        <v>A</v>
      </c>
      <c r="S205" s="890" t="str">
        <f t="shared" si="218"/>
        <v>A</v>
      </c>
      <c r="T205" s="890" t="str">
        <f t="shared" si="219"/>
        <v>A</v>
      </c>
      <c r="U205" s="890" t="str">
        <f t="shared" si="220"/>
        <v>N</v>
      </c>
      <c r="V205" s="890" t="str">
        <f t="shared" si="221"/>
        <v>A</v>
      </c>
      <c r="W205" s="890" t="str">
        <f t="shared" si="222"/>
        <v>N</v>
      </c>
      <c r="X205" s="890" t="str">
        <f t="shared" si="223"/>
        <v>N</v>
      </c>
      <c r="Y205" s="890" t="str">
        <f t="shared" si="224"/>
        <v>A</v>
      </c>
      <c r="Z205" s="890" t="str">
        <f t="shared" si="225"/>
        <v>A</v>
      </c>
      <c r="AA205" s="890" t="str">
        <f t="shared" si="226"/>
        <v>A</v>
      </c>
      <c r="AB205" s="890" t="str">
        <f t="shared" si="227"/>
        <v>N</v>
      </c>
      <c r="AC205" s="890" t="str">
        <f t="shared" si="228"/>
        <v>A</v>
      </c>
      <c r="AD205" s="891"/>
      <c r="AE205" s="884"/>
      <c r="AF205" s="885"/>
      <c r="AG205" s="886"/>
      <c r="AH205" s="887"/>
      <c r="AI205" s="888"/>
      <c r="AK205" s="252"/>
      <c r="AL205" s="254"/>
      <c r="AM205" s="254"/>
      <c r="AN205" s="254"/>
      <c r="AO205" s="254"/>
      <c r="AP205" s="254"/>
      <c r="AQ205" s="254"/>
      <c r="AR205" s="254"/>
      <c r="AS205" s="254"/>
      <c r="AT205" s="254"/>
      <c r="AU205" s="254"/>
      <c r="AV205" s="254"/>
      <c r="AW205" s="254"/>
      <c r="AX205" s="254"/>
      <c r="AY205" s="254"/>
    </row>
    <row r="206" spans="2:51" x14ac:dyDescent="0.3">
      <c r="B206" s="893"/>
      <c r="C206" s="894" t="s">
        <v>461</v>
      </c>
      <c r="D206" s="895">
        <v>0</v>
      </c>
      <c r="E206" s="896">
        <v>0</v>
      </c>
      <c r="F206" s="897">
        <v>0</v>
      </c>
      <c r="G206" s="897">
        <f t="shared" si="215"/>
        <v>0.25</v>
      </c>
      <c r="H206" s="897"/>
      <c r="I206" s="897"/>
      <c r="J206" s="897"/>
      <c r="K206" s="897"/>
      <c r="L206" s="897">
        <f t="shared" si="216"/>
        <v>0.2</v>
      </c>
      <c r="M206" s="897">
        <f t="shared" si="216"/>
        <v>0.25</v>
      </c>
      <c r="N206" s="897">
        <v>0</v>
      </c>
      <c r="O206" s="897"/>
      <c r="P206" s="897">
        <f t="shared" si="217"/>
        <v>0</v>
      </c>
      <c r="Q206" s="897">
        <f t="shared" si="217"/>
        <v>0.25</v>
      </c>
      <c r="R206" s="897">
        <f t="shared" si="217"/>
        <v>0.2</v>
      </c>
      <c r="S206" s="897">
        <f t="shared" si="218"/>
        <v>0.2</v>
      </c>
      <c r="T206" s="897">
        <f t="shared" si="219"/>
        <v>0.2</v>
      </c>
      <c r="U206" s="897">
        <f t="shared" si="220"/>
        <v>0.25</v>
      </c>
      <c r="V206" s="897">
        <f t="shared" si="221"/>
        <v>0.35</v>
      </c>
      <c r="W206" s="897">
        <f t="shared" ref="W206" si="229">W20</f>
        <v>0.25</v>
      </c>
      <c r="X206" s="897">
        <f t="shared" si="223"/>
        <v>0.25</v>
      </c>
      <c r="Y206" s="897">
        <f t="shared" si="224"/>
        <v>0.2</v>
      </c>
      <c r="Z206" s="897">
        <f t="shared" si="225"/>
        <v>0.2</v>
      </c>
      <c r="AA206" s="897">
        <f t="shared" si="226"/>
        <v>0.35</v>
      </c>
      <c r="AB206" s="897">
        <f t="shared" si="227"/>
        <v>0.25</v>
      </c>
      <c r="AC206" s="897">
        <f t="shared" si="228"/>
        <v>0.2</v>
      </c>
      <c r="AD206" s="898"/>
      <c r="AE206" s="899"/>
      <c r="AF206" s="900"/>
      <c r="AG206" s="901"/>
      <c r="AH206" s="901"/>
      <c r="AI206" s="902"/>
      <c r="AK206" s="252"/>
      <c r="AL206" s="254"/>
      <c r="AM206" s="254"/>
      <c r="AN206" s="254"/>
      <c r="AO206" s="254"/>
      <c r="AP206" s="254"/>
      <c r="AQ206" s="254"/>
      <c r="AR206" s="254"/>
      <c r="AS206" s="254"/>
      <c r="AT206" s="254"/>
      <c r="AU206" s="254"/>
      <c r="AV206" s="254"/>
      <c r="AW206" s="254"/>
      <c r="AX206" s="254"/>
      <c r="AY206" s="254"/>
    </row>
    <row r="207" spans="2:51" ht="15" thickBot="1" x14ac:dyDescent="0.35">
      <c r="B207" s="839"/>
      <c r="C207" s="840" t="s">
        <v>535</v>
      </c>
      <c r="D207" s="841"/>
      <c r="E207" s="841"/>
      <c r="F207" s="841"/>
      <c r="G207" s="842"/>
      <c r="H207" s="842"/>
      <c r="I207" s="842"/>
      <c r="J207" s="842"/>
      <c r="K207" s="842"/>
      <c r="L207" s="842"/>
      <c r="M207" s="842"/>
      <c r="N207" s="842"/>
      <c r="O207" s="842"/>
      <c r="P207" s="842"/>
      <c r="Q207" s="842"/>
      <c r="R207" s="842"/>
      <c r="S207" s="842"/>
      <c r="T207" s="842"/>
      <c r="U207" s="842"/>
      <c r="V207" s="842"/>
      <c r="W207" s="842"/>
      <c r="X207" s="842"/>
      <c r="Y207" s="842"/>
      <c r="Z207" s="842"/>
      <c r="AA207" s="842"/>
      <c r="AB207" s="842"/>
      <c r="AC207" s="842"/>
      <c r="AD207" s="904"/>
      <c r="AE207" s="905"/>
      <c r="AF207" s="906">
        <f>'Procesy - AS IS'!AG52/(1+$AE136)-'Procesy - AS IS'!AG52</f>
        <v>22.549899098617715</v>
      </c>
      <c r="AG207" s="907">
        <f>'Procesy - AS IS'!AH39/(1+$AE136)-'Procesy - AS IS'!AH39</f>
        <v>9.1717271191536938</v>
      </c>
      <c r="AH207" s="907">
        <f>'Procesy - AS IS'!AI39/(1+$AE136)-'Procesy - AS IS'!AI39</f>
        <v>5.5937734198121447</v>
      </c>
      <c r="AI207" s="908">
        <f>'Procesy - AS IS'!AJ39/(1+$AE136)-'Procesy - AS IS'!AJ39</f>
        <v>0.87402709684564783</v>
      </c>
      <c r="AK207" s="252"/>
      <c r="AL207" s="254"/>
      <c r="AM207" s="254"/>
      <c r="AN207" s="254"/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</row>
    <row r="208" spans="2:51" ht="14.4" customHeight="1" x14ac:dyDescent="0.3">
      <c r="B208" s="756" t="str">
        <f>'Procesy - AS IS'!B53</f>
        <v>Zdroj 4</v>
      </c>
      <c r="C208" s="757" t="str">
        <f>'Procesy - AS IS'!C53</f>
        <v>Inšpekcia ochrany prírody a krajiny</v>
      </c>
      <c r="D208" s="872">
        <f>D209*$AF209/($AF208-$AF237)+D223*$AF223/($AF208-$AF237)</f>
        <v>0</v>
      </c>
      <c r="E208" s="750">
        <f>E209*$AF209/($AF208-$AF237)+E223*$AF223/($AF208-$AF237)</f>
        <v>0</v>
      </c>
      <c r="F208" s="750">
        <f>F209*$AF209/($AF208-$AF237)+F223*$AF223/($AF208-$AF237)</f>
        <v>0</v>
      </c>
      <c r="G208" s="760">
        <f>G209*$AF209/($AF208-$AF237)+G223*$AF223/($AF208-$AF237)</f>
        <v>-1</v>
      </c>
      <c r="H208" s="753"/>
      <c r="I208" s="753"/>
      <c r="J208" s="753"/>
      <c r="K208" s="753"/>
      <c r="L208" s="760">
        <f>L209*$AF209/($AF208-$AF237)+L223*$AF223/($AF208-$AF237)</f>
        <v>-3.9239014886411475E-2</v>
      </c>
      <c r="M208" s="760">
        <f>M209*$AF209/($AF208-$AF237)+M223*$AF223/($AF208-$AF237)</f>
        <v>0</v>
      </c>
      <c r="N208" s="750">
        <f>N209*$AF209/($AF208-$AF237)+N223*$AF223/($AF208-$AF237)</f>
        <v>0</v>
      </c>
      <c r="O208" s="750"/>
      <c r="P208" s="750">
        <f t="shared" ref="P208:AC208" si="230">P209*$AF209/($AF208-$AF237)+P223*$AF223/($AF208-$AF237)</f>
        <v>0</v>
      </c>
      <c r="Q208" s="750">
        <f t="shared" si="230"/>
        <v>0</v>
      </c>
      <c r="R208" s="750">
        <f t="shared" si="230"/>
        <v>-2.940420619745427</v>
      </c>
      <c r="S208" s="750">
        <f t="shared" si="230"/>
        <v>-8.9692053440768582E-2</v>
      </c>
      <c r="T208" s="750">
        <f t="shared" si="230"/>
        <v>-1.3236953587107771</v>
      </c>
      <c r="U208" s="750">
        <f t="shared" si="230"/>
        <v>-0.18624781927364767</v>
      </c>
      <c r="V208" s="750">
        <f t="shared" si="230"/>
        <v>-0.17499999999999996</v>
      </c>
      <c r="W208" s="750">
        <f t="shared" si="230"/>
        <v>-4.0512687575444982E-2</v>
      </c>
      <c r="X208" s="750">
        <f t="shared" si="230"/>
        <v>0</v>
      </c>
      <c r="Y208" s="750">
        <f t="shared" si="230"/>
        <v>-1.2301845555613871</v>
      </c>
      <c r="Z208" s="750">
        <f t="shared" si="230"/>
        <v>-3.8850017453139411E-3</v>
      </c>
      <c r="AA208" s="750">
        <f t="shared" si="230"/>
        <v>-1.3597506108598794E-2</v>
      </c>
      <c r="AB208" s="750">
        <f t="shared" si="230"/>
        <v>-0.10620295128866003</v>
      </c>
      <c r="AC208" s="751">
        <f t="shared" si="230"/>
        <v>-0.55913056532331218</v>
      </c>
      <c r="AD208" s="909">
        <f>SUM(AD209:AD236)</f>
        <v>-17.448003585397654</v>
      </c>
      <c r="AE208" s="874">
        <f>-SUM(AF209:AF236)/('Procesy - AS IS'!AG53+SUM(AF209:AF236))</f>
        <v>-0.19474518706455807</v>
      </c>
      <c r="AF208" s="910">
        <f>SUM(AF209:AF237)</f>
        <v>125.03279719043218</v>
      </c>
      <c r="AG208" s="911">
        <f>SUM(AG209:AG237)</f>
        <v>68.960555553167083</v>
      </c>
      <c r="AH208" s="877">
        <f>SUM(AH209:AH237)</f>
        <v>40.523317194079624</v>
      </c>
      <c r="AI208" s="912">
        <f>SUM(AI209:AI237)</f>
        <v>4.857526353063129</v>
      </c>
      <c r="AK208" s="252"/>
      <c r="AL208" s="254"/>
      <c r="AM208" s="254"/>
      <c r="AN208" s="254"/>
      <c r="AO208" s="254"/>
      <c r="AP208" s="254"/>
      <c r="AQ208" s="254"/>
      <c r="AR208" s="254"/>
      <c r="AS208" s="254"/>
      <c r="AT208" s="254"/>
      <c r="AU208" s="254"/>
      <c r="AV208" s="254"/>
      <c r="AW208" s="254"/>
      <c r="AX208" s="254"/>
      <c r="AY208" s="254"/>
    </row>
    <row r="209" spans="2:51" ht="28.8" customHeight="1" x14ac:dyDescent="0.3">
      <c r="B209" s="808" t="str">
        <f>'Procesy - AS IS'!B54</f>
        <v>Meranie č. 15</v>
      </c>
      <c r="C209" s="769" t="str">
        <f>'Procesy - AS IS'!$C$54</f>
        <v>Eko-Donau s.r.o., Preverenie legálnosti výrubu drevín, 5442/2018</v>
      </c>
      <c r="D209" s="872">
        <f>-'Procesy - AS IS'!D56*D222</f>
        <v>0</v>
      </c>
      <c r="E209" s="752">
        <f>-'Procesy - AS IS'!E56*E222</f>
        <v>0</v>
      </c>
      <c r="F209" s="752">
        <f>-'Procesy - AS IS'!F56*F222</f>
        <v>0</v>
      </c>
      <c r="G209" s="752">
        <f>-'Procesy - AS IS'!G56*G222</f>
        <v>-1</v>
      </c>
      <c r="H209" s="752" t="s">
        <v>523</v>
      </c>
      <c r="I209" s="752" t="s">
        <v>523</v>
      </c>
      <c r="J209" s="752" t="s">
        <v>523</v>
      </c>
      <c r="K209" s="752" t="s">
        <v>523</v>
      </c>
      <c r="L209" s="752">
        <f>-'Procesy - AS IS'!L56*L222</f>
        <v>-0.05</v>
      </c>
      <c r="M209" s="752">
        <f>-'Procesy - AS IS'!M56*M222</f>
        <v>0</v>
      </c>
      <c r="N209" s="752">
        <f>-'Procesy - AS IS'!N56*N222</f>
        <v>0</v>
      </c>
      <c r="O209" s="752" t="s">
        <v>524</v>
      </c>
      <c r="P209" s="752">
        <f>-'Procesy - AS IS'!P56*P222</f>
        <v>0</v>
      </c>
      <c r="Q209" s="752">
        <f>-'Procesy - AS IS'!Q56*Q222</f>
        <v>0</v>
      </c>
      <c r="R209" s="752">
        <f>-'Procesy - AS IS'!R56*R222</f>
        <v>-2.6266343825665865</v>
      </c>
      <c r="S209" s="752">
        <f>-'Procesy - AS IS'!S56*S222</f>
        <v>-9.0556900726392248E-2</v>
      </c>
      <c r="T209" s="752">
        <f>-'Procesy - AS IS'!T56*T222</f>
        <v>-1.3133171912832933</v>
      </c>
      <c r="U209" s="752">
        <f>-'Procesy - AS IS'!U56*U222</f>
        <v>0</v>
      </c>
      <c r="V209" s="752">
        <f>-'Procesy - AS IS'!V56*V222</f>
        <v>-0.17499999999999999</v>
      </c>
      <c r="W209" s="752">
        <f>-'Procesy - AS IS'!W56*W222</f>
        <v>-3.843825665859564E-2</v>
      </c>
      <c r="X209" s="752">
        <f>-'Procesy - AS IS'!X56*X222</f>
        <v>0</v>
      </c>
      <c r="Y209" s="752">
        <f>-'Procesy - AS IS'!Y56*Y222</f>
        <v>-1.2300242130750605</v>
      </c>
      <c r="Z209" s="752">
        <f>-'Procesy - AS IS'!Z56*Z222</f>
        <v>-3.6319612590799029E-3</v>
      </c>
      <c r="AA209" s="752">
        <f>-'Procesy - AS IS'!AA56*AA222</f>
        <v>-1.271186440677966E-2</v>
      </c>
      <c r="AB209" s="752">
        <f>-'Procesy - AS IS'!AB56*AB222</f>
        <v>-0.10895883777239709</v>
      </c>
      <c r="AC209" s="752">
        <f>-'Procesy - AS IS'!AC56*AC222</f>
        <v>-0.29055690072639223</v>
      </c>
      <c r="AD209" s="903">
        <f>SUM(D209:AC209)</f>
        <v>-6.9398305084745768</v>
      </c>
      <c r="AE209" s="880">
        <f>AD209/'Procesy - AS IS'!AD56</f>
        <v>-0.19197575311040038</v>
      </c>
      <c r="AF209" s="881">
        <f>'Procesy - AS IS'!AG56/(1+$AE209)-'Procesy - AS IS'!AG56</f>
        <v>98.123275804900686</v>
      </c>
      <c r="AG209" s="882">
        <f>'Procesy - AS IS'!AH56/(1+$AE209)-'Procesy - AS IS'!AH56</f>
        <v>53.694577074836729</v>
      </c>
      <c r="AH209" s="877">
        <f>'Procesy - AS IS'!AI56/(1+$AE209)-'Procesy - AS IS'!AI56</f>
        <v>30.173501276567521</v>
      </c>
      <c r="AI209" s="878">
        <f>'Procesy - AS IS'!AJ56/(1+$AE209)-'Procesy - AS IS'!AJ56</f>
        <v>3.5637993633741161</v>
      </c>
      <c r="AK209" s="252"/>
      <c r="AL209" s="254"/>
      <c r="AM209" s="254"/>
      <c r="AN209" s="254"/>
      <c r="AO209" s="254"/>
      <c r="AP209" s="254"/>
      <c r="AQ209" s="254"/>
      <c r="AR209" s="254"/>
      <c r="AS209" s="254"/>
      <c r="AT209" s="254"/>
      <c r="AU209" s="254"/>
      <c r="AV209" s="254"/>
      <c r="AW209" s="254"/>
      <c r="AX209" s="254"/>
      <c r="AY209" s="254"/>
    </row>
    <row r="210" spans="2:51" x14ac:dyDescent="0.3">
      <c r="B210" s="1150" t="s">
        <v>451</v>
      </c>
      <c r="C210" s="766" t="s">
        <v>409</v>
      </c>
      <c r="D210" s="892" t="s">
        <v>453</v>
      </c>
      <c r="E210" s="890" t="s">
        <v>453</v>
      </c>
      <c r="F210" s="890" t="s">
        <v>453</v>
      </c>
      <c r="G210" s="890" t="str">
        <f t="shared" ref="G210:G222" si="231">G50</f>
        <v>A</v>
      </c>
      <c r="H210" s="890"/>
      <c r="I210" s="890"/>
      <c r="J210" s="890"/>
      <c r="K210" s="890"/>
      <c r="L210" s="890" t="str">
        <f t="shared" ref="L210:L222" si="232">R152</f>
        <v>A</v>
      </c>
      <c r="M210" s="890" t="s">
        <v>453</v>
      </c>
      <c r="N210" s="890" t="s">
        <v>453</v>
      </c>
      <c r="O210" s="890"/>
      <c r="P210" s="890" t="str">
        <f t="shared" ref="P210:P222" si="233">P194</f>
        <v>N</v>
      </c>
      <c r="Q210" s="890" t="str">
        <f t="shared" ref="Q210:Q222" si="234">G210</f>
        <v>A</v>
      </c>
      <c r="R210" s="890" t="str">
        <f t="shared" ref="R210:R222" si="235">R108</f>
        <v>A</v>
      </c>
      <c r="S210" s="890" t="str">
        <f t="shared" ref="S210:S222" si="236">R210</f>
        <v>A</v>
      </c>
      <c r="T210" s="890" t="str">
        <f t="shared" ref="T210:T222" si="237">R210</f>
        <v>A</v>
      </c>
      <c r="U210" s="890" t="str">
        <f t="shared" ref="U210:U222" si="238">G210</f>
        <v>A</v>
      </c>
      <c r="V210" s="890" t="str">
        <f t="shared" ref="V210:W221" si="239">V7</f>
        <v>A</v>
      </c>
      <c r="W210" s="890" t="str">
        <f t="shared" si="239"/>
        <v>A</v>
      </c>
      <c r="X210" s="890" t="str">
        <f t="shared" ref="X210:X222" si="240">G210</f>
        <v>A</v>
      </c>
      <c r="Y210" s="890" t="str">
        <f t="shared" ref="Y210:Y222" si="241">R210</f>
        <v>A</v>
      </c>
      <c r="Z210" s="890" t="str">
        <f t="shared" ref="Z210:Z222" si="242">R210</f>
        <v>A</v>
      </c>
      <c r="AA210" s="890" t="str">
        <f t="shared" ref="AA210:AA222" si="243">$V210</f>
        <v>A</v>
      </c>
      <c r="AB210" s="890" t="str">
        <f t="shared" ref="AB210:AB222" si="244">G210</f>
        <v>A</v>
      </c>
      <c r="AC210" s="890" t="str">
        <f t="shared" ref="AC210:AC222" si="245">R210</f>
        <v>A</v>
      </c>
      <c r="AD210" s="891"/>
      <c r="AE210" s="884"/>
      <c r="AF210" s="885"/>
      <c r="AG210" s="886"/>
      <c r="AH210" s="887"/>
      <c r="AI210" s="888"/>
      <c r="AK210" s="252"/>
      <c r="AL210" s="254"/>
      <c r="AM210" s="254"/>
      <c r="AN210" s="254"/>
      <c r="AO210" s="254"/>
      <c r="AP210" s="254"/>
      <c r="AQ210" s="254"/>
      <c r="AR210" s="254"/>
      <c r="AS210" s="254"/>
      <c r="AT210" s="254"/>
      <c r="AU210" s="254"/>
      <c r="AV210" s="254"/>
      <c r="AW210" s="254"/>
      <c r="AX210" s="254"/>
      <c r="AY210" s="254"/>
    </row>
    <row r="211" spans="2:51" x14ac:dyDescent="0.3">
      <c r="B211" s="1151"/>
      <c r="C211" s="766" t="s">
        <v>411</v>
      </c>
      <c r="D211" s="889" t="s">
        <v>453</v>
      </c>
      <c r="E211" s="890" t="s">
        <v>453</v>
      </c>
      <c r="F211" s="890" t="s">
        <v>453</v>
      </c>
      <c r="G211" s="890" t="str">
        <f t="shared" si="231"/>
        <v>N</v>
      </c>
      <c r="H211" s="890"/>
      <c r="I211" s="890"/>
      <c r="J211" s="890"/>
      <c r="K211" s="890"/>
      <c r="L211" s="890" t="str">
        <f t="shared" si="232"/>
        <v>N</v>
      </c>
      <c r="M211" s="890" t="s">
        <v>453</v>
      </c>
      <c r="N211" s="890" t="s">
        <v>453</v>
      </c>
      <c r="O211" s="890"/>
      <c r="P211" s="890" t="str">
        <f t="shared" si="233"/>
        <v>N</v>
      </c>
      <c r="Q211" s="890" t="str">
        <f t="shared" si="234"/>
        <v>N</v>
      </c>
      <c r="R211" s="890" t="str">
        <f t="shared" si="235"/>
        <v>N</v>
      </c>
      <c r="S211" s="890" t="str">
        <f t="shared" si="236"/>
        <v>N</v>
      </c>
      <c r="T211" s="890" t="str">
        <f t="shared" si="237"/>
        <v>N</v>
      </c>
      <c r="U211" s="890" t="str">
        <f t="shared" si="238"/>
        <v>N</v>
      </c>
      <c r="V211" s="890" t="str">
        <f t="shared" si="239"/>
        <v>N</v>
      </c>
      <c r="W211" s="890" t="str">
        <f t="shared" si="239"/>
        <v>N</v>
      </c>
      <c r="X211" s="890" t="str">
        <f t="shared" si="240"/>
        <v>N</v>
      </c>
      <c r="Y211" s="890" t="str">
        <f t="shared" si="241"/>
        <v>N</v>
      </c>
      <c r="Z211" s="890" t="str">
        <f t="shared" si="242"/>
        <v>N</v>
      </c>
      <c r="AA211" s="890" t="str">
        <f t="shared" si="243"/>
        <v>N</v>
      </c>
      <c r="AB211" s="890" t="str">
        <f t="shared" si="244"/>
        <v>N</v>
      </c>
      <c r="AC211" s="890" t="str">
        <f t="shared" si="245"/>
        <v>N</v>
      </c>
      <c r="AD211" s="891"/>
      <c r="AE211" s="884"/>
      <c r="AF211" s="885"/>
      <c r="AG211" s="886"/>
      <c r="AH211" s="887"/>
      <c r="AI211" s="888"/>
      <c r="AK211" s="252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</row>
    <row r="212" spans="2:51" x14ac:dyDescent="0.3">
      <c r="B212" s="1151"/>
      <c r="C212" s="766" t="s">
        <v>413</v>
      </c>
      <c r="D212" s="889" t="s">
        <v>453</v>
      </c>
      <c r="E212" s="890" t="s">
        <v>453</v>
      </c>
      <c r="F212" s="890" t="s">
        <v>453</v>
      </c>
      <c r="G212" s="890" t="str">
        <f t="shared" si="231"/>
        <v>N</v>
      </c>
      <c r="H212" s="890"/>
      <c r="I212" s="890"/>
      <c r="J212" s="890"/>
      <c r="K212" s="890"/>
      <c r="L212" s="890" t="str">
        <f t="shared" si="232"/>
        <v>N</v>
      </c>
      <c r="M212" s="890" t="s">
        <v>453</v>
      </c>
      <c r="N212" s="890" t="s">
        <v>453</v>
      </c>
      <c r="O212" s="890"/>
      <c r="P212" s="890" t="str">
        <f t="shared" si="233"/>
        <v>N</v>
      </c>
      <c r="Q212" s="890" t="str">
        <f t="shared" si="234"/>
        <v>N</v>
      </c>
      <c r="R212" s="890" t="str">
        <f t="shared" si="235"/>
        <v>N</v>
      </c>
      <c r="S212" s="890" t="str">
        <f t="shared" si="236"/>
        <v>N</v>
      </c>
      <c r="T212" s="890" t="str">
        <f t="shared" si="237"/>
        <v>N</v>
      </c>
      <c r="U212" s="890" t="str">
        <f t="shared" si="238"/>
        <v>N</v>
      </c>
      <c r="V212" s="890" t="str">
        <f t="shared" si="239"/>
        <v>N</v>
      </c>
      <c r="W212" s="890" t="str">
        <f t="shared" si="239"/>
        <v>N</v>
      </c>
      <c r="X212" s="890" t="str">
        <f t="shared" si="240"/>
        <v>N</v>
      </c>
      <c r="Y212" s="890" t="str">
        <f t="shared" si="241"/>
        <v>N</v>
      </c>
      <c r="Z212" s="890" t="str">
        <f t="shared" si="242"/>
        <v>N</v>
      </c>
      <c r="AA212" s="890" t="str">
        <f t="shared" si="243"/>
        <v>N</v>
      </c>
      <c r="AB212" s="890" t="str">
        <f t="shared" si="244"/>
        <v>N</v>
      </c>
      <c r="AC212" s="890" t="str">
        <f t="shared" si="245"/>
        <v>N</v>
      </c>
      <c r="AD212" s="891"/>
      <c r="AE212" s="884"/>
      <c r="AF212" s="885"/>
      <c r="AG212" s="886"/>
      <c r="AH212" s="887"/>
      <c r="AI212" s="888"/>
      <c r="AK212" s="252"/>
      <c r="AL212" s="254"/>
      <c r="AM212" s="254"/>
      <c r="AN212" s="254"/>
      <c r="AO212" s="254"/>
      <c r="AP212" s="254"/>
      <c r="AQ212" s="254"/>
      <c r="AR212" s="254"/>
      <c r="AS212" s="254"/>
      <c r="AT212" s="254"/>
      <c r="AU212" s="254"/>
      <c r="AV212" s="254"/>
      <c r="AW212" s="254"/>
      <c r="AX212" s="254"/>
      <c r="AY212" s="254"/>
    </row>
    <row r="213" spans="2:51" x14ac:dyDescent="0.3">
      <c r="B213" s="1151"/>
      <c r="C213" s="766" t="s">
        <v>415</v>
      </c>
      <c r="D213" s="892" t="s">
        <v>453</v>
      </c>
      <c r="E213" s="890" t="s">
        <v>453</v>
      </c>
      <c r="F213" s="890" t="s">
        <v>453</v>
      </c>
      <c r="G213" s="890" t="str">
        <f t="shared" si="231"/>
        <v>N</v>
      </c>
      <c r="H213" s="890"/>
      <c r="I213" s="890"/>
      <c r="J213" s="890"/>
      <c r="K213" s="890"/>
      <c r="L213" s="890" t="str">
        <f t="shared" si="232"/>
        <v>N</v>
      </c>
      <c r="M213" s="890" t="s">
        <v>453</v>
      </c>
      <c r="N213" s="890" t="s">
        <v>453</v>
      </c>
      <c r="O213" s="890"/>
      <c r="P213" s="890" t="str">
        <f t="shared" si="233"/>
        <v>N</v>
      </c>
      <c r="Q213" s="890" t="str">
        <f t="shared" si="234"/>
        <v>N</v>
      </c>
      <c r="R213" s="890" t="str">
        <f t="shared" si="235"/>
        <v>N</v>
      </c>
      <c r="S213" s="890" t="str">
        <f t="shared" si="236"/>
        <v>N</v>
      </c>
      <c r="T213" s="890" t="str">
        <f t="shared" si="237"/>
        <v>N</v>
      </c>
      <c r="U213" s="890" t="str">
        <f t="shared" si="238"/>
        <v>N</v>
      </c>
      <c r="V213" s="890" t="str">
        <f t="shared" si="239"/>
        <v>N</v>
      </c>
      <c r="W213" s="890" t="str">
        <f t="shared" si="239"/>
        <v>N</v>
      </c>
      <c r="X213" s="890" t="str">
        <f t="shared" si="240"/>
        <v>N</v>
      </c>
      <c r="Y213" s="890" t="str">
        <f t="shared" si="241"/>
        <v>N</v>
      </c>
      <c r="Z213" s="890" t="str">
        <f t="shared" si="242"/>
        <v>N</v>
      </c>
      <c r="AA213" s="890" t="str">
        <f t="shared" si="243"/>
        <v>N</v>
      </c>
      <c r="AB213" s="890" t="str">
        <f t="shared" si="244"/>
        <v>N</v>
      </c>
      <c r="AC213" s="890" t="str">
        <f t="shared" si="245"/>
        <v>N</v>
      </c>
      <c r="AD213" s="891"/>
      <c r="AE213" s="884"/>
      <c r="AF213" s="885"/>
      <c r="AG213" s="886"/>
      <c r="AH213" s="887"/>
      <c r="AI213" s="888"/>
      <c r="AK213" s="252"/>
      <c r="AL213" s="254"/>
      <c r="AM213" s="254"/>
      <c r="AN213" s="254"/>
      <c r="AO213" s="254"/>
      <c r="AP213" s="254"/>
      <c r="AQ213" s="254"/>
      <c r="AR213" s="254"/>
      <c r="AS213" s="254"/>
      <c r="AT213" s="254"/>
      <c r="AU213" s="254"/>
      <c r="AV213" s="254"/>
      <c r="AW213" s="254"/>
      <c r="AX213" s="254"/>
      <c r="AY213" s="254"/>
    </row>
    <row r="214" spans="2:51" x14ac:dyDescent="0.3">
      <c r="B214" s="1151"/>
      <c r="C214" s="766" t="s">
        <v>417</v>
      </c>
      <c r="D214" s="892" t="s">
        <v>453</v>
      </c>
      <c r="E214" s="890" t="s">
        <v>453</v>
      </c>
      <c r="F214" s="890" t="s">
        <v>453</v>
      </c>
      <c r="G214" s="890" t="str">
        <f t="shared" si="231"/>
        <v>A</v>
      </c>
      <c r="H214" s="890"/>
      <c r="I214" s="890"/>
      <c r="J214" s="890"/>
      <c r="K214" s="890"/>
      <c r="L214" s="890" t="str">
        <f t="shared" si="232"/>
        <v>A</v>
      </c>
      <c r="M214" s="890" t="s">
        <v>453</v>
      </c>
      <c r="N214" s="890" t="s">
        <v>453</v>
      </c>
      <c r="O214" s="890"/>
      <c r="P214" s="890" t="str">
        <f t="shared" si="233"/>
        <v>N</v>
      </c>
      <c r="Q214" s="890" t="str">
        <f t="shared" si="234"/>
        <v>A</v>
      </c>
      <c r="R214" s="890" t="str">
        <f t="shared" si="235"/>
        <v>A</v>
      </c>
      <c r="S214" s="890" t="str">
        <f t="shared" si="236"/>
        <v>A</v>
      </c>
      <c r="T214" s="890" t="str">
        <f t="shared" si="237"/>
        <v>A</v>
      </c>
      <c r="U214" s="890" t="str">
        <f t="shared" si="238"/>
        <v>A</v>
      </c>
      <c r="V214" s="890" t="str">
        <f t="shared" si="239"/>
        <v>A</v>
      </c>
      <c r="W214" s="890" t="str">
        <f t="shared" si="239"/>
        <v>A</v>
      </c>
      <c r="X214" s="890" t="str">
        <f t="shared" si="240"/>
        <v>A</v>
      </c>
      <c r="Y214" s="890" t="str">
        <f t="shared" si="241"/>
        <v>A</v>
      </c>
      <c r="Z214" s="890" t="str">
        <f t="shared" si="242"/>
        <v>A</v>
      </c>
      <c r="AA214" s="890" t="str">
        <f t="shared" si="243"/>
        <v>A</v>
      </c>
      <c r="AB214" s="890" t="str">
        <f t="shared" si="244"/>
        <v>A</v>
      </c>
      <c r="AC214" s="890" t="str">
        <f t="shared" si="245"/>
        <v>A</v>
      </c>
      <c r="AD214" s="891"/>
      <c r="AE214" s="884"/>
      <c r="AF214" s="885"/>
      <c r="AG214" s="886"/>
      <c r="AH214" s="887"/>
      <c r="AI214" s="888"/>
      <c r="AK214" s="252"/>
      <c r="AL214" s="254"/>
      <c r="AM214" s="254"/>
      <c r="AN214" s="254"/>
      <c r="AO214" s="254"/>
      <c r="AP214" s="254"/>
      <c r="AQ214" s="254"/>
      <c r="AR214" s="254"/>
      <c r="AS214" s="254"/>
      <c r="AT214" s="254"/>
      <c r="AU214" s="254"/>
      <c r="AV214" s="254"/>
      <c r="AW214" s="254"/>
      <c r="AX214" s="254"/>
      <c r="AY214" s="254"/>
    </row>
    <row r="215" spans="2:51" x14ac:dyDescent="0.3">
      <c r="B215" s="1151"/>
      <c r="C215" s="766" t="s">
        <v>419</v>
      </c>
      <c r="D215" s="892" t="s">
        <v>453</v>
      </c>
      <c r="E215" s="890" t="s">
        <v>453</v>
      </c>
      <c r="F215" s="890" t="s">
        <v>453</v>
      </c>
      <c r="G215" s="890" t="str">
        <f t="shared" si="231"/>
        <v>A</v>
      </c>
      <c r="H215" s="890"/>
      <c r="I215" s="890"/>
      <c r="J215" s="890"/>
      <c r="K215" s="890"/>
      <c r="L215" s="890" t="str">
        <f t="shared" si="232"/>
        <v>A</v>
      </c>
      <c r="M215" s="890" t="s">
        <v>453</v>
      </c>
      <c r="N215" s="890" t="s">
        <v>453</v>
      </c>
      <c r="O215" s="890"/>
      <c r="P215" s="890" t="str">
        <f t="shared" si="233"/>
        <v>N</v>
      </c>
      <c r="Q215" s="890" t="str">
        <f t="shared" si="234"/>
        <v>A</v>
      </c>
      <c r="R215" s="890" t="str">
        <f t="shared" si="235"/>
        <v>A</v>
      </c>
      <c r="S215" s="890" t="str">
        <f t="shared" si="236"/>
        <v>A</v>
      </c>
      <c r="T215" s="890" t="str">
        <f t="shared" si="237"/>
        <v>A</v>
      </c>
      <c r="U215" s="890" t="str">
        <f t="shared" si="238"/>
        <v>A</v>
      </c>
      <c r="V215" s="890" t="str">
        <f t="shared" si="239"/>
        <v>A</v>
      </c>
      <c r="W215" s="890" t="str">
        <f t="shared" si="239"/>
        <v>A</v>
      </c>
      <c r="X215" s="890" t="str">
        <f t="shared" si="240"/>
        <v>A</v>
      </c>
      <c r="Y215" s="890" t="str">
        <f t="shared" si="241"/>
        <v>A</v>
      </c>
      <c r="Z215" s="890" t="str">
        <f t="shared" si="242"/>
        <v>A</v>
      </c>
      <c r="AA215" s="890" t="str">
        <f t="shared" si="243"/>
        <v>A</v>
      </c>
      <c r="AB215" s="890" t="str">
        <f t="shared" si="244"/>
        <v>A</v>
      </c>
      <c r="AC215" s="890" t="str">
        <f t="shared" si="245"/>
        <v>A</v>
      </c>
      <c r="AD215" s="891"/>
      <c r="AE215" s="884"/>
      <c r="AF215" s="885"/>
      <c r="AG215" s="886"/>
      <c r="AH215" s="887"/>
      <c r="AI215" s="888"/>
      <c r="AK215" s="252"/>
      <c r="AL215" s="254"/>
      <c r="AM215" s="254"/>
      <c r="AN215" s="254"/>
      <c r="AO215" s="254"/>
      <c r="AP215" s="254"/>
      <c r="AQ215" s="254"/>
      <c r="AR215" s="254"/>
      <c r="AS215" s="254"/>
      <c r="AT215" s="254"/>
      <c r="AU215" s="254"/>
      <c r="AV215" s="254"/>
      <c r="AW215" s="254"/>
      <c r="AX215" s="254"/>
      <c r="AY215" s="254"/>
    </row>
    <row r="216" spans="2:51" x14ac:dyDescent="0.3">
      <c r="B216" s="1151"/>
      <c r="C216" s="766" t="s">
        <v>421</v>
      </c>
      <c r="D216" s="892" t="s">
        <v>453</v>
      </c>
      <c r="E216" s="890" t="s">
        <v>453</v>
      </c>
      <c r="F216" s="890" t="s">
        <v>453</v>
      </c>
      <c r="G216" s="890" t="str">
        <f t="shared" si="231"/>
        <v>A</v>
      </c>
      <c r="H216" s="890"/>
      <c r="I216" s="890"/>
      <c r="J216" s="890"/>
      <c r="K216" s="890"/>
      <c r="L216" s="890" t="str">
        <f t="shared" si="232"/>
        <v>N</v>
      </c>
      <c r="M216" s="890" t="s">
        <v>453</v>
      </c>
      <c r="N216" s="890" t="s">
        <v>453</v>
      </c>
      <c r="O216" s="890"/>
      <c r="P216" s="890" t="str">
        <f t="shared" si="233"/>
        <v>N</v>
      </c>
      <c r="Q216" s="890" t="str">
        <f t="shared" si="234"/>
        <v>A</v>
      </c>
      <c r="R216" s="890" t="str">
        <f t="shared" si="235"/>
        <v>N</v>
      </c>
      <c r="S216" s="890" t="str">
        <f t="shared" si="236"/>
        <v>N</v>
      </c>
      <c r="T216" s="890" t="str">
        <f t="shared" si="237"/>
        <v>N</v>
      </c>
      <c r="U216" s="890" t="str">
        <f t="shared" si="238"/>
        <v>A</v>
      </c>
      <c r="V216" s="890" t="str">
        <f t="shared" si="239"/>
        <v>A</v>
      </c>
      <c r="W216" s="890" t="str">
        <f t="shared" si="239"/>
        <v>A</v>
      </c>
      <c r="X216" s="890" t="str">
        <f t="shared" si="240"/>
        <v>A</v>
      </c>
      <c r="Y216" s="890" t="str">
        <f t="shared" si="241"/>
        <v>N</v>
      </c>
      <c r="Z216" s="890" t="str">
        <f t="shared" si="242"/>
        <v>N</v>
      </c>
      <c r="AA216" s="890" t="str">
        <f t="shared" si="243"/>
        <v>A</v>
      </c>
      <c r="AB216" s="890" t="str">
        <f t="shared" si="244"/>
        <v>A</v>
      </c>
      <c r="AC216" s="890" t="str">
        <f t="shared" si="245"/>
        <v>N</v>
      </c>
      <c r="AD216" s="891"/>
      <c r="AE216" s="884"/>
      <c r="AF216" s="885"/>
      <c r="AG216" s="886"/>
      <c r="AH216" s="887"/>
      <c r="AI216" s="888"/>
      <c r="AK216" s="252"/>
      <c r="AL216" s="254"/>
      <c r="AM216" s="254"/>
      <c r="AN216" s="254"/>
      <c r="AO216" s="254"/>
      <c r="AP216" s="254"/>
      <c r="AQ216" s="254"/>
      <c r="AR216" s="254"/>
      <c r="AS216" s="254"/>
      <c r="AT216" s="254"/>
      <c r="AU216" s="254"/>
      <c r="AV216" s="254"/>
      <c r="AW216" s="254"/>
      <c r="AX216" s="254"/>
      <c r="AY216" s="254"/>
    </row>
    <row r="217" spans="2:51" x14ac:dyDescent="0.3">
      <c r="B217" s="1151"/>
      <c r="C217" s="766" t="s">
        <v>423</v>
      </c>
      <c r="D217" s="892" t="s">
        <v>453</v>
      </c>
      <c r="E217" s="890" t="s">
        <v>453</v>
      </c>
      <c r="F217" s="890" t="s">
        <v>453</v>
      </c>
      <c r="G217" s="890" t="str">
        <f t="shared" si="231"/>
        <v>A</v>
      </c>
      <c r="H217" s="890"/>
      <c r="I217" s="890"/>
      <c r="J217" s="890"/>
      <c r="K217" s="890"/>
      <c r="L217" s="890" t="str">
        <f t="shared" si="232"/>
        <v>N</v>
      </c>
      <c r="M217" s="890" t="s">
        <v>453</v>
      </c>
      <c r="N217" s="890" t="s">
        <v>453</v>
      </c>
      <c r="O217" s="890"/>
      <c r="P217" s="890" t="str">
        <f t="shared" si="233"/>
        <v>N</v>
      </c>
      <c r="Q217" s="890" t="str">
        <f t="shared" si="234"/>
        <v>A</v>
      </c>
      <c r="R217" s="890" t="str">
        <f t="shared" si="235"/>
        <v>N</v>
      </c>
      <c r="S217" s="890" t="str">
        <f t="shared" si="236"/>
        <v>N</v>
      </c>
      <c r="T217" s="890" t="str">
        <f t="shared" si="237"/>
        <v>N</v>
      </c>
      <c r="U217" s="890" t="str">
        <f t="shared" si="238"/>
        <v>A</v>
      </c>
      <c r="V217" s="890" t="str">
        <f t="shared" si="239"/>
        <v>A</v>
      </c>
      <c r="W217" s="890" t="str">
        <f t="shared" si="239"/>
        <v>A</v>
      </c>
      <c r="X217" s="890" t="str">
        <f t="shared" si="240"/>
        <v>A</v>
      </c>
      <c r="Y217" s="890" t="str">
        <f t="shared" si="241"/>
        <v>N</v>
      </c>
      <c r="Z217" s="890" t="str">
        <f t="shared" si="242"/>
        <v>N</v>
      </c>
      <c r="AA217" s="890" t="str">
        <f t="shared" si="243"/>
        <v>A</v>
      </c>
      <c r="AB217" s="890" t="str">
        <f t="shared" si="244"/>
        <v>A</v>
      </c>
      <c r="AC217" s="890" t="str">
        <f t="shared" si="245"/>
        <v>N</v>
      </c>
      <c r="AD217" s="891"/>
      <c r="AE217" s="884"/>
      <c r="AF217" s="885"/>
      <c r="AG217" s="886"/>
      <c r="AH217" s="887"/>
      <c r="AI217" s="888"/>
      <c r="AK217" s="252"/>
      <c r="AL217" s="254"/>
      <c r="AM217" s="254"/>
      <c r="AN217" s="254"/>
      <c r="AO217" s="254"/>
      <c r="AP217" s="254"/>
      <c r="AQ217" s="254"/>
      <c r="AR217" s="254"/>
      <c r="AS217" s="254"/>
      <c r="AT217" s="254"/>
      <c r="AU217" s="254"/>
      <c r="AV217" s="254"/>
      <c r="AW217" s="254"/>
      <c r="AX217" s="254"/>
      <c r="AY217" s="254"/>
    </row>
    <row r="218" spans="2:51" x14ac:dyDescent="0.3">
      <c r="B218" s="1151"/>
      <c r="C218" s="766" t="s">
        <v>425</v>
      </c>
      <c r="D218" s="892" t="s">
        <v>453</v>
      </c>
      <c r="E218" s="890" t="s">
        <v>453</v>
      </c>
      <c r="F218" s="890" t="s">
        <v>453</v>
      </c>
      <c r="G218" s="890" t="str">
        <f t="shared" si="231"/>
        <v>N</v>
      </c>
      <c r="H218" s="890"/>
      <c r="I218" s="890"/>
      <c r="J218" s="890"/>
      <c r="K218" s="890"/>
      <c r="L218" s="890" t="str">
        <f t="shared" si="232"/>
        <v>N</v>
      </c>
      <c r="M218" s="890" t="s">
        <v>453</v>
      </c>
      <c r="N218" s="890" t="s">
        <v>453</v>
      </c>
      <c r="O218" s="890"/>
      <c r="P218" s="890" t="str">
        <f t="shared" si="233"/>
        <v>N</v>
      </c>
      <c r="Q218" s="890" t="str">
        <f t="shared" si="234"/>
        <v>N</v>
      </c>
      <c r="R218" s="890" t="str">
        <f t="shared" si="235"/>
        <v>N</v>
      </c>
      <c r="S218" s="890" t="str">
        <f t="shared" si="236"/>
        <v>N</v>
      </c>
      <c r="T218" s="890" t="str">
        <f t="shared" si="237"/>
        <v>N</v>
      </c>
      <c r="U218" s="890" t="str">
        <f t="shared" si="238"/>
        <v>N</v>
      </c>
      <c r="V218" s="890" t="str">
        <f t="shared" si="239"/>
        <v>A</v>
      </c>
      <c r="W218" s="890" t="str">
        <f t="shared" si="239"/>
        <v>N</v>
      </c>
      <c r="X218" s="890" t="str">
        <f t="shared" si="240"/>
        <v>N</v>
      </c>
      <c r="Y218" s="890" t="str">
        <f t="shared" si="241"/>
        <v>N</v>
      </c>
      <c r="Z218" s="890" t="str">
        <f t="shared" si="242"/>
        <v>N</v>
      </c>
      <c r="AA218" s="890" t="str">
        <f t="shared" si="243"/>
        <v>A</v>
      </c>
      <c r="AB218" s="890" t="str">
        <f t="shared" si="244"/>
        <v>N</v>
      </c>
      <c r="AC218" s="890" t="str">
        <f t="shared" si="245"/>
        <v>N</v>
      </c>
      <c r="AD218" s="891"/>
      <c r="AE218" s="884"/>
      <c r="AF218" s="885"/>
      <c r="AG218" s="886"/>
      <c r="AH218" s="887"/>
      <c r="AI218" s="888"/>
      <c r="AK218" s="252"/>
      <c r="AL218" s="254"/>
      <c r="AM218" s="254"/>
      <c r="AN218" s="254"/>
      <c r="AO218" s="254"/>
      <c r="AP218" s="254"/>
      <c r="AQ218" s="254"/>
      <c r="AR218" s="254"/>
      <c r="AS218" s="254"/>
      <c r="AT218" s="254"/>
      <c r="AU218" s="254"/>
      <c r="AV218" s="254"/>
      <c r="AW218" s="254"/>
      <c r="AX218" s="254"/>
      <c r="AY218" s="254"/>
    </row>
    <row r="219" spans="2:51" x14ac:dyDescent="0.3">
      <c r="B219" s="1151"/>
      <c r="C219" s="766" t="s">
        <v>427</v>
      </c>
      <c r="D219" s="892" t="s">
        <v>453</v>
      </c>
      <c r="E219" s="890" t="s">
        <v>453</v>
      </c>
      <c r="F219" s="890" t="s">
        <v>453</v>
      </c>
      <c r="G219" s="890" t="str">
        <f t="shared" si="231"/>
        <v>A</v>
      </c>
      <c r="H219" s="890"/>
      <c r="I219" s="890"/>
      <c r="J219" s="890"/>
      <c r="K219" s="890"/>
      <c r="L219" s="890" t="str">
        <f t="shared" si="232"/>
        <v>A</v>
      </c>
      <c r="M219" s="890" t="s">
        <v>453</v>
      </c>
      <c r="N219" s="890" t="s">
        <v>453</v>
      </c>
      <c r="O219" s="890"/>
      <c r="P219" s="890" t="str">
        <f t="shared" si="233"/>
        <v>N</v>
      </c>
      <c r="Q219" s="890" t="str">
        <f t="shared" si="234"/>
        <v>A</v>
      </c>
      <c r="R219" s="890" t="str">
        <f t="shared" si="235"/>
        <v>A</v>
      </c>
      <c r="S219" s="890" t="str">
        <f t="shared" si="236"/>
        <v>A</v>
      </c>
      <c r="T219" s="890" t="str">
        <f t="shared" si="237"/>
        <v>A</v>
      </c>
      <c r="U219" s="890" t="str">
        <f t="shared" si="238"/>
        <v>A</v>
      </c>
      <c r="V219" s="890" t="str">
        <f t="shared" si="239"/>
        <v>A</v>
      </c>
      <c r="W219" s="890" t="str">
        <f t="shared" si="239"/>
        <v>A</v>
      </c>
      <c r="X219" s="890" t="str">
        <f t="shared" si="240"/>
        <v>A</v>
      </c>
      <c r="Y219" s="890" t="str">
        <f t="shared" si="241"/>
        <v>A</v>
      </c>
      <c r="Z219" s="890" t="str">
        <f t="shared" si="242"/>
        <v>A</v>
      </c>
      <c r="AA219" s="890" t="str">
        <f t="shared" si="243"/>
        <v>A</v>
      </c>
      <c r="AB219" s="890" t="str">
        <f t="shared" si="244"/>
        <v>A</v>
      </c>
      <c r="AC219" s="890" t="str">
        <f t="shared" si="245"/>
        <v>A</v>
      </c>
      <c r="AD219" s="891"/>
      <c r="AE219" s="884"/>
      <c r="AF219" s="885"/>
      <c r="AG219" s="886"/>
      <c r="AH219" s="887"/>
      <c r="AI219" s="888"/>
      <c r="AK219" s="252"/>
      <c r="AL219" s="254"/>
      <c r="AM219" s="254"/>
      <c r="AN219" s="254"/>
      <c r="AO219" s="254"/>
      <c r="AP219" s="254"/>
      <c r="AQ219" s="254"/>
      <c r="AR219" s="254"/>
      <c r="AS219" s="254"/>
      <c r="AT219" s="254"/>
      <c r="AU219" s="254"/>
      <c r="AV219" s="254"/>
      <c r="AW219" s="254"/>
      <c r="AX219" s="254"/>
      <c r="AY219" s="254"/>
    </row>
    <row r="220" spans="2:51" x14ac:dyDescent="0.3">
      <c r="B220" s="1151"/>
      <c r="C220" s="766" t="s">
        <v>429</v>
      </c>
      <c r="D220" s="892" t="s">
        <v>453</v>
      </c>
      <c r="E220" s="890" t="s">
        <v>453</v>
      </c>
      <c r="F220" s="890" t="s">
        <v>453</v>
      </c>
      <c r="G220" s="890" t="str">
        <f t="shared" si="231"/>
        <v>N</v>
      </c>
      <c r="H220" s="890"/>
      <c r="I220" s="890"/>
      <c r="J220" s="890"/>
      <c r="K220" s="890"/>
      <c r="L220" s="890" t="str">
        <f t="shared" si="232"/>
        <v>N</v>
      </c>
      <c r="M220" s="890" t="s">
        <v>453</v>
      </c>
      <c r="N220" s="890" t="s">
        <v>453</v>
      </c>
      <c r="O220" s="890"/>
      <c r="P220" s="890" t="str">
        <f t="shared" si="233"/>
        <v>N</v>
      </c>
      <c r="Q220" s="890" t="str">
        <f t="shared" si="234"/>
        <v>N</v>
      </c>
      <c r="R220" s="890" t="str">
        <f t="shared" si="235"/>
        <v>N</v>
      </c>
      <c r="S220" s="890" t="str">
        <f t="shared" si="236"/>
        <v>N</v>
      </c>
      <c r="T220" s="890" t="str">
        <f t="shared" si="237"/>
        <v>N</v>
      </c>
      <c r="U220" s="890" t="str">
        <f t="shared" si="238"/>
        <v>N</v>
      </c>
      <c r="V220" s="890" t="str">
        <f t="shared" si="239"/>
        <v>N</v>
      </c>
      <c r="W220" s="890" t="str">
        <f t="shared" si="239"/>
        <v>N</v>
      </c>
      <c r="X220" s="890" t="str">
        <f t="shared" si="240"/>
        <v>N</v>
      </c>
      <c r="Y220" s="890" t="str">
        <f t="shared" si="241"/>
        <v>N</v>
      </c>
      <c r="Z220" s="890" t="str">
        <f t="shared" si="242"/>
        <v>N</v>
      </c>
      <c r="AA220" s="890" t="str">
        <f t="shared" si="243"/>
        <v>N</v>
      </c>
      <c r="AB220" s="890" t="str">
        <f t="shared" si="244"/>
        <v>N</v>
      </c>
      <c r="AC220" s="890" t="str">
        <f t="shared" si="245"/>
        <v>N</v>
      </c>
      <c r="AD220" s="891"/>
      <c r="AE220" s="884"/>
      <c r="AF220" s="885"/>
      <c r="AG220" s="886"/>
      <c r="AH220" s="887"/>
      <c r="AI220" s="888"/>
      <c r="AK220" s="252"/>
      <c r="AL220" s="254"/>
      <c r="AM220" s="254"/>
      <c r="AN220" s="254"/>
      <c r="AO220" s="254"/>
      <c r="AP220" s="254"/>
      <c r="AQ220" s="254"/>
      <c r="AR220" s="254"/>
      <c r="AS220" s="254"/>
      <c r="AT220" s="254"/>
      <c r="AU220" s="254"/>
      <c r="AV220" s="254"/>
      <c r="AW220" s="254"/>
      <c r="AX220" s="254"/>
      <c r="AY220" s="254"/>
    </row>
    <row r="221" spans="2:51" x14ac:dyDescent="0.3">
      <c r="B221" s="1151"/>
      <c r="C221" s="770" t="s">
        <v>431</v>
      </c>
      <c r="D221" s="892" t="s">
        <v>453</v>
      </c>
      <c r="E221" s="890" t="s">
        <v>453</v>
      </c>
      <c r="F221" s="890" t="s">
        <v>453</v>
      </c>
      <c r="G221" s="890" t="str">
        <f t="shared" si="231"/>
        <v>N</v>
      </c>
      <c r="H221" s="890"/>
      <c r="I221" s="890"/>
      <c r="J221" s="890"/>
      <c r="K221" s="890"/>
      <c r="L221" s="890" t="str">
        <f t="shared" si="232"/>
        <v>A</v>
      </c>
      <c r="M221" s="890" t="s">
        <v>453</v>
      </c>
      <c r="N221" s="890" t="s">
        <v>453</v>
      </c>
      <c r="O221" s="890"/>
      <c r="P221" s="890" t="str">
        <f t="shared" si="233"/>
        <v>N</v>
      </c>
      <c r="Q221" s="890" t="str">
        <f t="shared" si="234"/>
        <v>N</v>
      </c>
      <c r="R221" s="890" t="str">
        <f t="shared" si="235"/>
        <v>A</v>
      </c>
      <c r="S221" s="890" t="str">
        <f t="shared" si="236"/>
        <v>A</v>
      </c>
      <c r="T221" s="890" t="str">
        <f t="shared" si="237"/>
        <v>A</v>
      </c>
      <c r="U221" s="890" t="str">
        <f t="shared" si="238"/>
        <v>N</v>
      </c>
      <c r="V221" s="890" t="str">
        <f t="shared" si="239"/>
        <v>A</v>
      </c>
      <c r="W221" s="890" t="str">
        <f t="shared" si="239"/>
        <v>N</v>
      </c>
      <c r="X221" s="890" t="str">
        <f t="shared" si="240"/>
        <v>N</v>
      </c>
      <c r="Y221" s="890" t="str">
        <f t="shared" si="241"/>
        <v>A</v>
      </c>
      <c r="Z221" s="890" t="str">
        <f t="shared" si="242"/>
        <v>A</v>
      </c>
      <c r="AA221" s="890" t="str">
        <f t="shared" si="243"/>
        <v>A</v>
      </c>
      <c r="AB221" s="890" t="str">
        <f t="shared" si="244"/>
        <v>N</v>
      </c>
      <c r="AC221" s="890" t="str">
        <f t="shared" si="245"/>
        <v>A</v>
      </c>
      <c r="AD221" s="891"/>
      <c r="AE221" s="884"/>
      <c r="AF221" s="885"/>
      <c r="AG221" s="886"/>
      <c r="AH221" s="887"/>
      <c r="AI221" s="888"/>
      <c r="AK221" s="252"/>
      <c r="AL221" s="254"/>
      <c r="AM221" s="254"/>
      <c r="AN221" s="254"/>
      <c r="AO221" s="254"/>
      <c r="AP221" s="254"/>
      <c r="AQ221" s="254"/>
      <c r="AR221" s="254"/>
      <c r="AS221" s="254"/>
      <c r="AT221" s="254"/>
      <c r="AU221" s="254"/>
      <c r="AV221" s="254"/>
      <c r="AW221" s="254"/>
      <c r="AX221" s="254"/>
      <c r="AY221" s="254"/>
    </row>
    <row r="222" spans="2:51" x14ac:dyDescent="0.3">
      <c r="B222" s="893"/>
      <c r="C222" s="894" t="s">
        <v>461</v>
      </c>
      <c r="D222" s="895">
        <v>0</v>
      </c>
      <c r="E222" s="896">
        <v>0</v>
      </c>
      <c r="F222" s="897">
        <v>0</v>
      </c>
      <c r="G222" s="897">
        <f t="shared" si="231"/>
        <v>0.25</v>
      </c>
      <c r="H222" s="897"/>
      <c r="I222" s="897"/>
      <c r="J222" s="897"/>
      <c r="K222" s="897"/>
      <c r="L222" s="897">
        <f t="shared" si="232"/>
        <v>0.2</v>
      </c>
      <c r="M222" s="897">
        <v>0</v>
      </c>
      <c r="N222" s="897">
        <v>0</v>
      </c>
      <c r="O222" s="897"/>
      <c r="P222" s="897">
        <f t="shared" si="233"/>
        <v>0</v>
      </c>
      <c r="Q222" s="897">
        <f t="shared" si="234"/>
        <v>0.25</v>
      </c>
      <c r="R222" s="897">
        <f t="shared" si="235"/>
        <v>0.2</v>
      </c>
      <c r="S222" s="897">
        <f t="shared" si="236"/>
        <v>0.2</v>
      </c>
      <c r="T222" s="897">
        <f t="shared" si="237"/>
        <v>0.2</v>
      </c>
      <c r="U222" s="897">
        <f t="shared" si="238"/>
        <v>0.25</v>
      </c>
      <c r="V222" s="897">
        <f t="shared" ref="V222:W222" si="246">V20</f>
        <v>0.35</v>
      </c>
      <c r="W222" s="897">
        <f t="shared" si="246"/>
        <v>0.25</v>
      </c>
      <c r="X222" s="897">
        <f t="shared" si="240"/>
        <v>0.25</v>
      </c>
      <c r="Y222" s="897">
        <f t="shared" si="241"/>
        <v>0.2</v>
      </c>
      <c r="Z222" s="897">
        <f t="shared" si="242"/>
        <v>0.2</v>
      </c>
      <c r="AA222" s="897">
        <f t="shared" si="243"/>
        <v>0.35</v>
      </c>
      <c r="AB222" s="897">
        <f t="shared" si="244"/>
        <v>0.25</v>
      </c>
      <c r="AC222" s="897">
        <f t="shared" si="245"/>
        <v>0.2</v>
      </c>
      <c r="AD222" s="898"/>
      <c r="AE222" s="899"/>
      <c r="AF222" s="900"/>
      <c r="AG222" s="901"/>
      <c r="AH222" s="901"/>
      <c r="AI222" s="902"/>
      <c r="AK222" s="252"/>
      <c r="AL222" s="254"/>
      <c r="AM222" s="254"/>
      <c r="AN222" s="254"/>
      <c r="AO222" s="254"/>
      <c r="AP222" s="254"/>
      <c r="AQ222" s="254"/>
      <c r="AR222" s="254"/>
      <c r="AS222" s="254"/>
      <c r="AT222" s="254"/>
      <c r="AU222" s="254"/>
      <c r="AV222" s="254"/>
      <c r="AW222" s="254"/>
      <c r="AX222" s="254"/>
      <c r="AY222" s="254"/>
    </row>
    <row r="223" spans="2:51" ht="43.2" customHeight="1" x14ac:dyDescent="0.3">
      <c r="B223" s="256" t="str">
        <f>'Procesy - AS IS'!B57</f>
        <v>Meranie č. 16</v>
      </c>
      <c r="C223" s="749" t="str">
        <f>'Procesy - AS IS'!$C$57</f>
        <v>Štefan Fraňo, Ochrana ohrozených druhov, ktoré sú predmetom dohovoru CITES, 7840/2017</v>
      </c>
      <c r="D223" s="872">
        <f>-'Procesy - AS IS'!D59*D236</f>
        <v>0</v>
      </c>
      <c r="E223" s="752">
        <f>-'Procesy - AS IS'!E59*E236</f>
        <v>0</v>
      </c>
      <c r="F223" s="752">
        <f>-'Procesy - AS IS'!F59*F236</f>
        <v>0</v>
      </c>
      <c r="G223" s="752">
        <f>-'Procesy - AS IS'!G59*G236</f>
        <v>-1</v>
      </c>
      <c r="H223" s="752" t="s">
        <v>523</v>
      </c>
      <c r="I223" s="752" t="s">
        <v>523</v>
      </c>
      <c r="J223" s="752" t="s">
        <v>523</v>
      </c>
      <c r="K223" s="752" t="s">
        <v>523</v>
      </c>
      <c r="L223" s="752">
        <f>-'Procesy - AS IS'!L59*L236</f>
        <v>0</v>
      </c>
      <c r="M223" s="752">
        <f>-'Procesy - AS IS'!M59*M236</f>
        <v>0</v>
      </c>
      <c r="N223" s="752">
        <f>-'Procesy - AS IS'!N59*N236</f>
        <v>0</v>
      </c>
      <c r="O223" s="752" t="s">
        <v>524</v>
      </c>
      <c r="P223" s="752">
        <f>-'Procesy - AS IS'!P59*P236</f>
        <v>0</v>
      </c>
      <c r="Q223" s="752">
        <f>-'Procesy - AS IS'!Q59*Q236</f>
        <v>0</v>
      </c>
      <c r="R223" s="752">
        <f>-'Procesy - AS IS'!R59*R236</f>
        <v>-4.0846153846153852</v>
      </c>
      <c r="S223" s="752">
        <f>-'Procesy - AS IS'!S59*S236</f>
        <v>-8.653846153846155E-2</v>
      </c>
      <c r="T223" s="752">
        <f>-'Procesy - AS IS'!T59*T236</f>
        <v>-1.3615384615384616</v>
      </c>
      <c r="U223" s="752">
        <f>-'Procesy - AS IS'!U59*U236</f>
        <v>-0.86538461538461542</v>
      </c>
      <c r="V223" s="752">
        <f>-'Procesy - AS IS'!V59*V236</f>
        <v>-0.17499999999999999</v>
      </c>
      <c r="W223" s="752">
        <f>-'Procesy - AS IS'!W59*W236</f>
        <v>-4.807692307692308E-2</v>
      </c>
      <c r="X223" s="752">
        <f>-'Procesy - AS IS'!X59*X236</f>
        <v>0</v>
      </c>
      <c r="Y223" s="752">
        <f>-'Procesy - AS IS'!Y59*Y236</f>
        <v>-1.2307692307692308</v>
      </c>
      <c r="Z223" s="752">
        <f>-'Procesy - AS IS'!Z59*Z236</f>
        <v>-4.807692307692308E-3</v>
      </c>
      <c r="AA223" s="752">
        <f>-'Procesy - AS IS'!AA59*AA236</f>
        <v>-1.6826923076923076E-2</v>
      </c>
      <c r="AB223" s="752">
        <f>-'Procesy - AS IS'!AB59*AB236</f>
        <v>-9.6153846153846159E-2</v>
      </c>
      <c r="AC223" s="752">
        <f>-'Procesy - AS IS'!AC59*AC236</f>
        <v>-1.5384615384615385</v>
      </c>
      <c r="AD223" s="903">
        <f>SUM(D223:AC223)</f>
        <v>-10.508173076923077</v>
      </c>
      <c r="AE223" s="880">
        <f>AD223/'Procesy - AS IS'!AD59</f>
        <v>-0.20555816796764789</v>
      </c>
      <c r="AF223" s="881">
        <f>'Procesy - AS IS'!AG59/(1+$AE223)-'Procesy - AS IS'!AG59</f>
        <v>26.909521385531491</v>
      </c>
      <c r="AG223" s="882">
        <f>'Procesy - AS IS'!AH59/(1+$AE223)-'Procesy - AS IS'!AH59</f>
        <v>15.265978478330354</v>
      </c>
      <c r="AH223" s="877">
        <f>'Procesy - AS IS'!AI59/(1+$AE223)-'Procesy - AS IS'!AI59</f>
        <v>10.349815917512103</v>
      </c>
      <c r="AI223" s="878">
        <f>'Procesy - AS IS'!AJ59/(1+$AE223)-'Procesy - AS IS'!AJ59</f>
        <v>1.2937269896890129</v>
      </c>
      <c r="AK223" s="252"/>
      <c r="AL223" s="254"/>
      <c r="AM223" s="254"/>
      <c r="AN223" s="254"/>
      <c r="AO223" s="254"/>
      <c r="AP223" s="254"/>
      <c r="AQ223" s="254"/>
      <c r="AR223" s="254"/>
      <c r="AS223" s="254"/>
      <c r="AT223" s="254"/>
      <c r="AU223" s="254"/>
      <c r="AV223" s="254"/>
      <c r="AW223" s="254"/>
      <c r="AX223" s="254"/>
      <c r="AY223" s="254"/>
    </row>
    <row r="224" spans="2:51" x14ac:dyDescent="0.3">
      <c r="B224" s="1150" t="s">
        <v>451</v>
      </c>
      <c r="C224" s="766" t="s">
        <v>409</v>
      </c>
      <c r="D224" s="771" t="s">
        <v>453</v>
      </c>
      <c r="E224" s="772" t="s">
        <v>453</v>
      </c>
      <c r="F224" s="890" t="s">
        <v>453</v>
      </c>
      <c r="G224" s="890" t="str">
        <f t="shared" ref="G224:G236" si="247">G210</f>
        <v>A</v>
      </c>
      <c r="H224" s="890"/>
      <c r="I224" s="890"/>
      <c r="J224" s="890"/>
      <c r="K224" s="890"/>
      <c r="L224" s="890" t="s">
        <v>453</v>
      </c>
      <c r="M224" s="890" t="s">
        <v>453</v>
      </c>
      <c r="N224" s="890" t="s">
        <v>453</v>
      </c>
      <c r="O224" s="890"/>
      <c r="P224" s="890" t="str">
        <f t="shared" ref="P224:R236" si="248">P210</f>
        <v>N</v>
      </c>
      <c r="Q224" s="890" t="str">
        <f t="shared" si="248"/>
        <v>A</v>
      </c>
      <c r="R224" s="890" t="str">
        <f t="shared" si="248"/>
        <v>A</v>
      </c>
      <c r="S224" s="890" t="str">
        <f t="shared" ref="S224:S236" si="249">R224</f>
        <v>A</v>
      </c>
      <c r="T224" s="890" t="str">
        <f t="shared" ref="T224:T236" si="250">R224</f>
        <v>A</v>
      </c>
      <c r="U224" s="890" t="str">
        <f t="shared" ref="U224:U236" si="251">G224</f>
        <v>A</v>
      </c>
      <c r="V224" s="890" t="str">
        <f t="shared" ref="V224:V236" si="252">V210</f>
        <v>A</v>
      </c>
      <c r="W224" s="890" t="str">
        <f t="shared" ref="W224:W235" si="253">W7</f>
        <v>A</v>
      </c>
      <c r="X224" s="890" t="str">
        <f t="shared" ref="X224:X236" si="254">G224</f>
        <v>A</v>
      </c>
      <c r="Y224" s="890" t="str">
        <f t="shared" ref="Y224:Y236" si="255">R224</f>
        <v>A</v>
      </c>
      <c r="Z224" s="890" t="str">
        <f t="shared" ref="Z224:Z236" si="256">R224</f>
        <v>A</v>
      </c>
      <c r="AA224" s="890" t="str">
        <f t="shared" ref="AA224:AA236" si="257">$V224</f>
        <v>A</v>
      </c>
      <c r="AB224" s="890" t="str">
        <f t="shared" ref="AB224:AB236" si="258">G224</f>
        <v>A</v>
      </c>
      <c r="AC224" s="890" t="str">
        <f t="shared" ref="AC224:AC236" si="259">R224</f>
        <v>A</v>
      </c>
      <c r="AD224" s="891"/>
      <c r="AE224" s="884"/>
      <c r="AF224" s="885"/>
      <c r="AG224" s="886"/>
      <c r="AH224" s="887"/>
      <c r="AI224" s="888"/>
      <c r="AK224" s="252"/>
      <c r="AL224" s="254"/>
      <c r="AM224" s="254"/>
      <c r="AN224" s="254"/>
      <c r="AO224" s="254"/>
      <c r="AP224" s="254"/>
      <c r="AQ224" s="254"/>
      <c r="AR224" s="254"/>
      <c r="AS224" s="254"/>
      <c r="AT224" s="254"/>
      <c r="AU224" s="254"/>
      <c r="AV224" s="254"/>
      <c r="AW224" s="254"/>
      <c r="AX224" s="254"/>
      <c r="AY224" s="254"/>
    </row>
    <row r="225" spans="2:51" x14ac:dyDescent="0.3">
      <c r="B225" s="1151"/>
      <c r="C225" s="766" t="s">
        <v>411</v>
      </c>
      <c r="D225" s="889" t="s">
        <v>453</v>
      </c>
      <c r="E225" s="890" t="s">
        <v>453</v>
      </c>
      <c r="F225" s="890" t="s">
        <v>453</v>
      </c>
      <c r="G225" s="890" t="str">
        <f t="shared" si="247"/>
        <v>N</v>
      </c>
      <c r="H225" s="890"/>
      <c r="I225" s="890"/>
      <c r="J225" s="890"/>
      <c r="K225" s="890"/>
      <c r="L225" s="890" t="s">
        <v>453</v>
      </c>
      <c r="M225" s="890" t="s">
        <v>453</v>
      </c>
      <c r="N225" s="890" t="s">
        <v>453</v>
      </c>
      <c r="O225" s="890"/>
      <c r="P225" s="890" t="str">
        <f t="shared" si="248"/>
        <v>N</v>
      </c>
      <c r="Q225" s="890" t="str">
        <f t="shared" si="248"/>
        <v>N</v>
      </c>
      <c r="R225" s="890" t="str">
        <f t="shared" si="248"/>
        <v>N</v>
      </c>
      <c r="S225" s="890" t="str">
        <f t="shared" si="249"/>
        <v>N</v>
      </c>
      <c r="T225" s="890" t="str">
        <f t="shared" si="250"/>
        <v>N</v>
      </c>
      <c r="U225" s="890" t="str">
        <f t="shared" si="251"/>
        <v>N</v>
      </c>
      <c r="V225" s="890" t="str">
        <f t="shared" si="252"/>
        <v>N</v>
      </c>
      <c r="W225" s="890" t="str">
        <f t="shared" si="253"/>
        <v>N</v>
      </c>
      <c r="X225" s="890" t="str">
        <f t="shared" si="254"/>
        <v>N</v>
      </c>
      <c r="Y225" s="890" t="str">
        <f t="shared" si="255"/>
        <v>N</v>
      </c>
      <c r="Z225" s="890" t="str">
        <f t="shared" si="256"/>
        <v>N</v>
      </c>
      <c r="AA225" s="890" t="str">
        <f t="shared" si="257"/>
        <v>N</v>
      </c>
      <c r="AB225" s="890" t="str">
        <f t="shared" si="258"/>
        <v>N</v>
      </c>
      <c r="AC225" s="890" t="str">
        <f t="shared" si="259"/>
        <v>N</v>
      </c>
      <c r="AD225" s="891"/>
      <c r="AE225" s="884"/>
      <c r="AF225" s="885"/>
      <c r="AG225" s="886"/>
      <c r="AH225" s="887"/>
      <c r="AI225" s="888"/>
      <c r="AK225" s="252"/>
      <c r="AL225" s="254"/>
      <c r="AM225" s="254"/>
      <c r="AN225" s="254"/>
      <c r="AO225" s="254"/>
      <c r="AP225" s="254"/>
      <c r="AQ225" s="254"/>
      <c r="AR225" s="254"/>
      <c r="AS225" s="254"/>
      <c r="AT225" s="254"/>
      <c r="AU225" s="254"/>
      <c r="AV225" s="254"/>
      <c r="AW225" s="254"/>
      <c r="AX225" s="254"/>
      <c r="AY225" s="254"/>
    </row>
    <row r="226" spans="2:51" x14ac:dyDescent="0.3">
      <c r="B226" s="1151"/>
      <c r="C226" s="766" t="s">
        <v>413</v>
      </c>
      <c r="D226" s="889" t="s">
        <v>453</v>
      </c>
      <c r="E226" s="890" t="s">
        <v>453</v>
      </c>
      <c r="F226" s="890" t="s">
        <v>453</v>
      </c>
      <c r="G226" s="890" t="str">
        <f t="shared" si="247"/>
        <v>N</v>
      </c>
      <c r="H226" s="890"/>
      <c r="I226" s="890"/>
      <c r="J226" s="890"/>
      <c r="K226" s="890"/>
      <c r="L226" s="890" t="s">
        <v>453</v>
      </c>
      <c r="M226" s="890" t="s">
        <v>453</v>
      </c>
      <c r="N226" s="890" t="s">
        <v>453</v>
      </c>
      <c r="O226" s="890"/>
      <c r="P226" s="890" t="str">
        <f t="shared" si="248"/>
        <v>N</v>
      </c>
      <c r="Q226" s="890" t="str">
        <f t="shared" si="248"/>
        <v>N</v>
      </c>
      <c r="R226" s="890" t="str">
        <f t="shared" si="248"/>
        <v>N</v>
      </c>
      <c r="S226" s="890" t="str">
        <f t="shared" si="249"/>
        <v>N</v>
      </c>
      <c r="T226" s="890" t="str">
        <f t="shared" si="250"/>
        <v>N</v>
      </c>
      <c r="U226" s="890" t="str">
        <f t="shared" si="251"/>
        <v>N</v>
      </c>
      <c r="V226" s="890" t="str">
        <f t="shared" si="252"/>
        <v>N</v>
      </c>
      <c r="W226" s="890" t="str">
        <f t="shared" si="253"/>
        <v>N</v>
      </c>
      <c r="X226" s="890" t="str">
        <f t="shared" si="254"/>
        <v>N</v>
      </c>
      <c r="Y226" s="890" t="str">
        <f t="shared" si="255"/>
        <v>N</v>
      </c>
      <c r="Z226" s="890" t="str">
        <f t="shared" si="256"/>
        <v>N</v>
      </c>
      <c r="AA226" s="890" t="str">
        <f t="shared" si="257"/>
        <v>N</v>
      </c>
      <c r="AB226" s="890" t="str">
        <f t="shared" si="258"/>
        <v>N</v>
      </c>
      <c r="AC226" s="890" t="str">
        <f t="shared" si="259"/>
        <v>N</v>
      </c>
      <c r="AD226" s="891"/>
      <c r="AE226" s="884"/>
      <c r="AF226" s="885"/>
      <c r="AG226" s="886"/>
      <c r="AH226" s="887"/>
      <c r="AI226" s="888"/>
      <c r="AK226" s="252"/>
      <c r="AL226" s="254"/>
      <c r="AM226" s="254"/>
      <c r="AN226" s="254"/>
      <c r="AO226" s="254"/>
      <c r="AP226" s="254"/>
      <c r="AQ226" s="254"/>
      <c r="AR226" s="254"/>
      <c r="AS226" s="254"/>
      <c r="AT226" s="254"/>
      <c r="AU226" s="254"/>
      <c r="AV226" s="254"/>
      <c r="AW226" s="254"/>
      <c r="AX226" s="254"/>
      <c r="AY226" s="254"/>
    </row>
    <row r="227" spans="2:51" x14ac:dyDescent="0.3">
      <c r="B227" s="1151"/>
      <c r="C227" s="766" t="s">
        <v>415</v>
      </c>
      <c r="D227" s="892" t="s">
        <v>453</v>
      </c>
      <c r="E227" s="890" t="s">
        <v>453</v>
      </c>
      <c r="F227" s="890" t="s">
        <v>453</v>
      </c>
      <c r="G227" s="890" t="str">
        <f t="shared" si="247"/>
        <v>N</v>
      </c>
      <c r="H227" s="890"/>
      <c r="I227" s="890"/>
      <c r="J227" s="890"/>
      <c r="K227" s="890"/>
      <c r="L227" s="890" t="s">
        <v>453</v>
      </c>
      <c r="M227" s="890" t="s">
        <v>453</v>
      </c>
      <c r="N227" s="890" t="s">
        <v>453</v>
      </c>
      <c r="O227" s="890"/>
      <c r="P227" s="890" t="str">
        <f t="shared" si="248"/>
        <v>N</v>
      </c>
      <c r="Q227" s="890" t="str">
        <f t="shared" si="248"/>
        <v>N</v>
      </c>
      <c r="R227" s="890" t="str">
        <f t="shared" si="248"/>
        <v>N</v>
      </c>
      <c r="S227" s="890" t="str">
        <f t="shared" si="249"/>
        <v>N</v>
      </c>
      <c r="T227" s="890" t="str">
        <f t="shared" si="250"/>
        <v>N</v>
      </c>
      <c r="U227" s="890" t="str">
        <f t="shared" si="251"/>
        <v>N</v>
      </c>
      <c r="V227" s="890" t="str">
        <f t="shared" si="252"/>
        <v>N</v>
      </c>
      <c r="W227" s="890" t="str">
        <f t="shared" si="253"/>
        <v>N</v>
      </c>
      <c r="X227" s="890" t="str">
        <f t="shared" si="254"/>
        <v>N</v>
      </c>
      <c r="Y227" s="890" t="str">
        <f t="shared" si="255"/>
        <v>N</v>
      </c>
      <c r="Z227" s="890" t="str">
        <f t="shared" si="256"/>
        <v>N</v>
      </c>
      <c r="AA227" s="890" t="str">
        <f t="shared" si="257"/>
        <v>N</v>
      </c>
      <c r="AB227" s="890" t="str">
        <f t="shared" si="258"/>
        <v>N</v>
      </c>
      <c r="AC227" s="890" t="str">
        <f t="shared" si="259"/>
        <v>N</v>
      </c>
      <c r="AD227" s="891"/>
      <c r="AE227" s="884"/>
      <c r="AF227" s="885"/>
      <c r="AG227" s="886"/>
      <c r="AH227" s="887"/>
      <c r="AI227" s="888"/>
      <c r="AK227" s="252"/>
      <c r="AL227" s="254"/>
      <c r="AM227" s="254"/>
      <c r="AN227" s="254"/>
      <c r="AO227" s="254"/>
      <c r="AP227" s="254"/>
      <c r="AQ227" s="254"/>
      <c r="AR227" s="254"/>
      <c r="AS227" s="254"/>
      <c r="AT227" s="254"/>
      <c r="AU227" s="254"/>
      <c r="AV227" s="254"/>
      <c r="AW227" s="254"/>
      <c r="AX227" s="254"/>
      <c r="AY227" s="254"/>
    </row>
    <row r="228" spans="2:51" x14ac:dyDescent="0.3">
      <c r="B228" s="1151"/>
      <c r="C228" s="766" t="s">
        <v>417</v>
      </c>
      <c r="D228" s="892" t="s">
        <v>453</v>
      </c>
      <c r="E228" s="890" t="s">
        <v>453</v>
      </c>
      <c r="F228" s="890" t="s">
        <v>453</v>
      </c>
      <c r="G228" s="890" t="str">
        <f t="shared" si="247"/>
        <v>A</v>
      </c>
      <c r="H228" s="890"/>
      <c r="I228" s="890"/>
      <c r="J228" s="890"/>
      <c r="K228" s="890"/>
      <c r="L228" s="890" t="s">
        <v>453</v>
      </c>
      <c r="M228" s="890" t="s">
        <v>453</v>
      </c>
      <c r="N228" s="890" t="s">
        <v>453</v>
      </c>
      <c r="O228" s="890"/>
      <c r="P228" s="890" t="str">
        <f t="shared" si="248"/>
        <v>N</v>
      </c>
      <c r="Q228" s="890" t="str">
        <f t="shared" si="248"/>
        <v>A</v>
      </c>
      <c r="R228" s="890" t="str">
        <f t="shared" si="248"/>
        <v>A</v>
      </c>
      <c r="S228" s="890" t="str">
        <f t="shared" si="249"/>
        <v>A</v>
      </c>
      <c r="T228" s="890" t="str">
        <f t="shared" si="250"/>
        <v>A</v>
      </c>
      <c r="U228" s="890" t="str">
        <f t="shared" si="251"/>
        <v>A</v>
      </c>
      <c r="V228" s="890" t="str">
        <f t="shared" si="252"/>
        <v>A</v>
      </c>
      <c r="W228" s="890" t="str">
        <f t="shared" si="253"/>
        <v>A</v>
      </c>
      <c r="X228" s="890" t="str">
        <f t="shared" si="254"/>
        <v>A</v>
      </c>
      <c r="Y228" s="890" t="str">
        <f t="shared" si="255"/>
        <v>A</v>
      </c>
      <c r="Z228" s="890" t="str">
        <f t="shared" si="256"/>
        <v>A</v>
      </c>
      <c r="AA228" s="890" t="str">
        <f t="shared" si="257"/>
        <v>A</v>
      </c>
      <c r="AB228" s="890" t="str">
        <f t="shared" si="258"/>
        <v>A</v>
      </c>
      <c r="AC228" s="890" t="str">
        <f t="shared" si="259"/>
        <v>A</v>
      </c>
      <c r="AD228" s="891"/>
      <c r="AE228" s="884"/>
      <c r="AF228" s="885"/>
      <c r="AG228" s="886"/>
      <c r="AH228" s="887"/>
      <c r="AI228" s="888"/>
      <c r="AK228" s="252"/>
      <c r="AL228" s="254"/>
      <c r="AM228" s="254"/>
      <c r="AN228" s="254"/>
      <c r="AO228" s="254"/>
      <c r="AP228" s="254"/>
      <c r="AQ228" s="254"/>
      <c r="AR228" s="254"/>
      <c r="AS228" s="254"/>
      <c r="AT228" s="254"/>
      <c r="AU228" s="254"/>
      <c r="AV228" s="254"/>
      <c r="AW228" s="254"/>
      <c r="AX228" s="254"/>
      <c r="AY228" s="254"/>
    </row>
    <row r="229" spans="2:51" x14ac:dyDescent="0.3">
      <c r="B229" s="1151"/>
      <c r="C229" s="766" t="s">
        <v>419</v>
      </c>
      <c r="D229" s="892" t="s">
        <v>453</v>
      </c>
      <c r="E229" s="890" t="s">
        <v>453</v>
      </c>
      <c r="F229" s="890" t="s">
        <v>453</v>
      </c>
      <c r="G229" s="890" t="str">
        <f t="shared" si="247"/>
        <v>A</v>
      </c>
      <c r="H229" s="890"/>
      <c r="I229" s="890"/>
      <c r="J229" s="890"/>
      <c r="K229" s="890"/>
      <c r="L229" s="890" t="s">
        <v>453</v>
      </c>
      <c r="M229" s="890" t="s">
        <v>453</v>
      </c>
      <c r="N229" s="890" t="s">
        <v>453</v>
      </c>
      <c r="O229" s="890"/>
      <c r="P229" s="890" t="str">
        <f t="shared" si="248"/>
        <v>N</v>
      </c>
      <c r="Q229" s="890" t="str">
        <f t="shared" si="248"/>
        <v>A</v>
      </c>
      <c r="R229" s="890" t="str">
        <f t="shared" si="248"/>
        <v>A</v>
      </c>
      <c r="S229" s="890" t="str">
        <f t="shared" si="249"/>
        <v>A</v>
      </c>
      <c r="T229" s="890" t="str">
        <f t="shared" si="250"/>
        <v>A</v>
      </c>
      <c r="U229" s="890" t="str">
        <f t="shared" si="251"/>
        <v>A</v>
      </c>
      <c r="V229" s="890" t="str">
        <f t="shared" si="252"/>
        <v>A</v>
      </c>
      <c r="W229" s="890" t="str">
        <f t="shared" si="253"/>
        <v>A</v>
      </c>
      <c r="X229" s="890" t="str">
        <f t="shared" si="254"/>
        <v>A</v>
      </c>
      <c r="Y229" s="890" t="str">
        <f t="shared" si="255"/>
        <v>A</v>
      </c>
      <c r="Z229" s="890" t="str">
        <f t="shared" si="256"/>
        <v>A</v>
      </c>
      <c r="AA229" s="890" t="str">
        <f t="shared" si="257"/>
        <v>A</v>
      </c>
      <c r="AB229" s="890" t="str">
        <f t="shared" si="258"/>
        <v>A</v>
      </c>
      <c r="AC229" s="890" t="str">
        <f t="shared" si="259"/>
        <v>A</v>
      </c>
      <c r="AD229" s="891"/>
      <c r="AE229" s="884"/>
      <c r="AF229" s="885"/>
      <c r="AG229" s="886"/>
      <c r="AH229" s="887"/>
      <c r="AI229" s="888"/>
      <c r="AK229" s="252"/>
      <c r="AL229" s="254"/>
      <c r="AM229" s="254"/>
      <c r="AN229" s="254"/>
      <c r="AO229" s="254"/>
      <c r="AP229" s="254"/>
      <c r="AQ229" s="254"/>
      <c r="AR229" s="254"/>
      <c r="AS229" s="254"/>
      <c r="AT229" s="254"/>
      <c r="AU229" s="254"/>
      <c r="AV229" s="254"/>
      <c r="AW229" s="254"/>
      <c r="AX229" s="254"/>
      <c r="AY229" s="254"/>
    </row>
    <row r="230" spans="2:51" x14ac:dyDescent="0.3">
      <c r="B230" s="1151"/>
      <c r="C230" s="766" t="s">
        <v>421</v>
      </c>
      <c r="D230" s="892" t="s">
        <v>453</v>
      </c>
      <c r="E230" s="890" t="s">
        <v>453</v>
      </c>
      <c r="F230" s="890" t="s">
        <v>453</v>
      </c>
      <c r="G230" s="890" t="str">
        <f t="shared" si="247"/>
        <v>A</v>
      </c>
      <c r="H230" s="890"/>
      <c r="I230" s="890"/>
      <c r="J230" s="890"/>
      <c r="K230" s="890"/>
      <c r="L230" s="890" t="s">
        <v>453</v>
      </c>
      <c r="M230" s="890" t="s">
        <v>453</v>
      </c>
      <c r="N230" s="890" t="s">
        <v>453</v>
      </c>
      <c r="O230" s="890"/>
      <c r="P230" s="890" t="str">
        <f t="shared" si="248"/>
        <v>N</v>
      </c>
      <c r="Q230" s="890" t="str">
        <f t="shared" si="248"/>
        <v>A</v>
      </c>
      <c r="R230" s="890" t="str">
        <f t="shared" si="248"/>
        <v>N</v>
      </c>
      <c r="S230" s="890" t="str">
        <f t="shared" si="249"/>
        <v>N</v>
      </c>
      <c r="T230" s="890" t="str">
        <f t="shared" si="250"/>
        <v>N</v>
      </c>
      <c r="U230" s="890" t="str">
        <f t="shared" si="251"/>
        <v>A</v>
      </c>
      <c r="V230" s="890" t="str">
        <f t="shared" si="252"/>
        <v>A</v>
      </c>
      <c r="W230" s="890" t="str">
        <f t="shared" si="253"/>
        <v>A</v>
      </c>
      <c r="X230" s="890" t="str">
        <f t="shared" si="254"/>
        <v>A</v>
      </c>
      <c r="Y230" s="890" t="str">
        <f t="shared" si="255"/>
        <v>N</v>
      </c>
      <c r="Z230" s="890" t="str">
        <f t="shared" si="256"/>
        <v>N</v>
      </c>
      <c r="AA230" s="890" t="str">
        <f t="shared" si="257"/>
        <v>A</v>
      </c>
      <c r="AB230" s="890" t="str">
        <f t="shared" si="258"/>
        <v>A</v>
      </c>
      <c r="AC230" s="890" t="str">
        <f t="shared" si="259"/>
        <v>N</v>
      </c>
      <c r="AD230" s="891"/>
      <c r="AE230" s="884"/>
      <c r="AF230" s="885"/>
      <c r="AG230" s="886"/>
      <c r="AH230" s="887"/>
      <c r="AI230" s="888"/>
      <c r="AK230" s="252"/>
      <c r="AL230" s="254"/>
      <c r="AM230" s="254"/>
      <c r="AN230" s="254"/>
      <c r="AO230" s="254"/>
      <c r="AP230" s="254"/>
      <c r="AQ230" s="254"/>
      <c r="AR230" s="254"/>
      <c r="AS230" s="254"/>
      <c r="AT230" s="254"/>
      <c r="AU230" s="254"/>
      <c r="AV230" s="254"/>
      <c r="AW230" s="254"/>
      <c r="AX230" s="254"/>
      <c r="AY230" s="254"/>
    </row>
    <row r="231" spans="2:51" x14ac:dyDescent="0.3">
      <c r="B231" s="1151"/>
      <c r="C231" s="766" t="s">
        <v>423</v>
      </c>
      <c r="D231" s="892" t="s">
        <v>453</v>
      </c>
      <c r="E231" s="890" t="s">
        <v>453</v>
      </c>
      <c r="F231" s="890" t="s">
        <v>453</v>
      </c>
      <c r="G231" s="890" t="str">
        <f t="shared" si="247"/>
        <v>A</v>
      </c>
      <c r="H231" s="890"/>
      <c r="I231" s="890"/>
      <c r="J231" s="890"/>
      <c r="K231" s="890"/>
      <c r="L231" s="890" t="s">
        <v>453</v>
      </c>
      <c r="M231" s="890" t="s">
        <v>453</v>
      </c>
      <c r="N231" s="890" t="s">
        <v>453</v>
      </c>
      <c r="O231" s="890"/>
      <c r="P231" s="890" t="str">
        <f t="shared" si="248"/>
        <v>N</v>
      </c>
      <c r="Q231" s="890" t="str">
        <f t="shared" si="248"/>
        <v>A</v>
      </c>
      <c r="R231" s="890" t="str">
        <f t="shared" si="248"/>
        <v>N</v>
      </c>
      <c r="S231" s="890" t="str">
        <f t="shared" si="249"/>
        <v>N</v>
      </c>
      <c r="T231" s="890" t="str">
        <f t="shared" si="250"/>
        <v>N</v>
      </c>
      <c r="U231" s="890" t="str">
        <f t="shared" si="251"/>
        <v>A</v>
      </c>
      <c r="V231" s="890" t="str">
        <f t="shared" si="252"/>
        <v>A</v>
      </c>
      <c r="W231" s="890" t="str">
        <f t="shared" si="253"/>
        <v>A</v>
      </c>
      <c r="X231" s="890" t="str">
        <f t="shared" si="254"/>
        <v>A</v>
      </c>
      <c r="Y231" s="890" t="str">
        <f t="shared" si="255"/>
        <v>N</v>
      </c>
      <c r="Z231" s="890" t="str">
        <f t="shared" si="256"/>
        <v>N</v>
      </c>
      <c r="AA231" s="890" t="str">
        <f t="shared" si="257"/>
        <v>A</v>
      </c>
      <c r="AB231" s="890" t="str">
        <f t="shared" si="258"/>
        <v>A</v>
      </c>
      <c r="AC231" s="890" t="str">
        <f t="shared" si="259"/>
        <v>N</v>
      </c>
      <c r="AD231" s="891"/>
      <c r="AE231" s="884"/>
      <c r="AF231" s="885"/>
      <c r="AG231" s="886"/>
      <c r="AH231" s="887"/>
      <c r="AI231" s="888"/>
      <c r="AK231" s="252"/>
      <c r="AL231" s="254"/>
      <c r="AM231" s="254"/>
      <c r="AN231" s="254"/>
      <c r="AO231" s="254"/>
      <c r="AP231" s="254"/>
      <c r="AQ231" s="254"/>
      <c r="AR231" s="254"/>
      <c r="AS231" s="254"/>
      <c r="AT231" s="254"/>
      <c r="AU231" s="254"/>
      <c r="AV231" s="254"/>
      <c r="AW231" s="254"/>
      <c r="AX231" s="254"/>
      <c r="AY231" s="254"/>
    </row>
    <row r="232" spans="2:51" x14ac:dyDescent="0.3">
      <c r="B232" s="1151"/>
      <c r="C232" s="766" t="s">
        <v>425</v>
      </c>
      <c r="D232" s="892" t="s">
        <v>453</v>
      </c>
      <c r="E232" s="890" t="s">
        <v>453</v>
      </c>
      <c r="F232" s="890" t="s">
        <v>453</v>
      </c>
      <c r="G232" s="890" t="str">
        <f t="shared" si="247"/>
        <v>N</v>
      </c>
      <c r="H232" s="890"/>
      <c r="I232" s="890"/>
      <c r="J232" s="890"/>
      <c r="K232" s="890"/>
      <c r="L232" s="890" t="s">
        <v>453</v>
      </c>
      <c r="M232" s="890" t="s">
        <v>453</v>
      </c>
      <c r="N232" s="890" t="s">
        <v>453</v>
      </c>
      <c r="O232" s="890"/>
      <c r="P232" s="890" t="str">
        <f t="shared" si="248"/>
        <v>N</v>
      </c>
      <c r="Q232" s="890" t="str">
        <f t="shared" si="248"/>
        <v>N</v>
      </c>
      <c r="R232" s="890" t="str">
        <f t="shared" si="248"/>
        <v>N</v>
      </c>
      <c r="S232" s="890" t="str">
        <f t="shared" si="249"/>
        <v>N</v>
      </c>
      <c r="T232" s="890" t="str">
        <f t="shared" si="250"/>
        <v>N</v>
      </c>
      <c r="U232" s="890" t="str">
        <f t="shared" si="251"/>
        <v>N</v>
      </c>
      <c r="V232" s="890" t="str">
        <f t="shared" si="252"/>
        <v>A</v>
      </c>
      <c r="W232" s="890" t="str">
        <f t="shared" si="253"/>
        <v>N</v>
      </c>
      <c r="X232" s="890" t="str">
        <f t="shared" si="254"/>
        <v>N</v>
      </c>
      <c r="Y232" s="890" t="str">
        <f t="shared" si="255"/>
        <v>N</v>
      </c>
      <c r="Z232" s="890" t="str">
        <f t="shared" si="256"/>
        <v>N</v>
      </c>
      <c r="AA232" s="890" t="str">
        <f t="shared" si="257"/>
        <v>A</v>
      </c>
      <c r="AB232" s="890" t="str">
        <f t="shared" si="258"/>
        <v>N</v>
      </c>
      <c r="AC232" s="890" t="str">
        <f t="shared" si="259"/>
        <v>N</v>
      </c>
      <c r="AD232" s="891"/>
      <c r="AE232" s="884"/>
      <c r="AF232" s="885"/>
      <c r="AG232" s="886"/>
      <c r="AH232" s="887"/>
      <c r="AI232" s="888"/>
      <c r="AK232" s="252"/>
      <c r="AL232" s="254"/>
      <c r="AM232" s="254"/>
      <c r="AN232" s="254"/>
      <c r="AO232" s="254"/>
      <c r="AP232" s="254"/>
      <c r="AQ232" s="254"/>
      <c r="AR232" s="254"/>
      <c r="AS232" s="254"/>
      <c r="AT232" s="254"/>
      <c r="AU232" s="254"/>
      <c r="AV232" s="254"/>
      <c r="AW232" s="254"/>
      <c r="AX232" s="254"/>
      <c r="AY232" s="254"/>
    </row>
    <row r="233" spans="2:51" x14ac:dyDescent="0.3">
      <c r="B233" s="1151"/>
      <c r="C233" s="766" t="s">
        <v>427</v>
      </c>
      <c r="D233" s="892" t="s">
        <v>453</v>
      </c>
      <c r="E233" s="890" t="s">
        <v>453</v>
      </c>
      <c r="F233" s="890" t="s">
        <v>453</v>
      </c>
      <c r="G233" s="890" t="str">
        <f t="shared" si="247"/>
        <v>A</v>
      </c>
      <c r="H233" s="890"/>
      <c r="I233" s="890"/>
      <c r="J233" s="890"/>
      <c r="K233" s="890"/>
      <c r="L233" s="890" t="s">
        <v>453</v>
      </c>
      <c r="M233" s="890" t="s">
        <v>453</v>
      </c>
      <c r="N233" s="890" t="s">
        <v>453</v>
      </c>
      <c r="O233" s="890"/>
      <c r="P233" s="890" t="str">
        <f t="shared" si="248"/>
        <v>N</v>
      </c>
      <c r="Q233" s="890" t="str">
        <f t="shared" si="248"/>
        <v>A</v>
      </c>
      <c r="R233" s="890" t="str">
        <f t="shared" si="248"/>
        <v>A</v>
      </c>
      <c r="S233" s="890" t="str">
        <f t="shared" si="249"/>
        <v>A</v>
      </c>
      <c r="T233" s="890" t="str">
        <f t="shared" si="250"/>
        <v>A</v>
      </c>
      <c r="U233" s="890" t="str">
        <f t="shared" si="251"/>
        <v>A</v>
      </c>
      <c r="V233" s="890" t="str">
        <f t="shared" si="252"/>
        <v>A</v>
      </c>
      <c r="W233" s="890" t="str">
        <f t="shared" si="253"/>
        <v>A</v>
      </c>
      <c r="X233" s="890" t="str">
        <f t="shared" si="254"/>
        <v>A</v>
      </c>
      <c r="Y233" s="890" t="str">
        <f t="shared" si="255"/>
        <v>A</v>
      </c>
      <c r="Z233" s="890" t="str">
        <f t="shared" si="256"/>
        <v>A</v>
      </c>
      <c r="AA233" s="890" t="str">
        <f t="shared" si="257"/>
        <v>A</v>
      </c>
      <c r="AB233" s="890" t="str">
        <f t="shared" si="258"/>
        <v>A</v>
      </c>
      <c r="AC233" s="890" t="str">
        <f t="shared" si="259"/>
        <v>A</v>
      </c>
      <c r="AD233" s="891"/>
      <c r="AE233" s="884"/>
      <c r="AF233" s="885"/>
      <c r="AG233" s="886"/>
      <c r="AH233" s="887"/>
      <c r="AI233" s="888"/>
      <c r="AK233" s="252"/>
      <c r="AL233" s="254"/>
      <c r="AM233" s="254"/>
      <c r="AN233" s="254"/>
      <c r="AO233" s="254"/>
      <c r="AP233" s="254"/>
      <c r="AQ233" s="254"/>
      <c r="AR233" s="254"/>
      <c r="AS233" s="254"/>
      <c r="AT233" s="254"/>
      <c r="AU233" s="254"/>
      <c r="AV233" s="254"/>
      <c r="AW233" s="254"/>
      <c r="AX233" s="254"/>
      <c r="AY233" s="254"/>
    </row>
    <row r="234" spans="2:51" x14ac:dyDescent="0.3">
      <c r="B234" s="1151"/>
      <c r="C234" s="766" t="s">
        <v>429</v>
      </c>
      <c r="D234" s="892" t="s">
        <v>453</v>
      </c>
      <c r="E234" s="890" t="s">
        <v>453</v>
      </c>
      <c r="F234" s="890" t="s">
        <v>453</v>
      </c>
      <c r="G234" s="890" t="str">
        <f t="shared" si="247"/>
        <v>N</v>
      </c>
      <c r="H234" s="890"/>
      <c r="I234" s="890"/>
      <c r="J234" s="890"/>
      <c r="K234" s="890"/>
      <c r="L234" s="890" t="s">
        <v>453</v>
      </c>
      <c r="M234" s="890" t="s">
        <v>453</v>
      </c>
      <c r="N234" s="890" t="s">
        <v>453</v>
      </c>
      <c r="O234" s="890"/>
      <c r="P234" s="890" t="str">
        <f t="shared" si="248"/>
        <v>N</v>
      </c>
      <c r="Q234" s="890" t="str">
        <f t="shared" si="248"/>
        <v>N</v>
      </c>
      <c r="R234" s="890" t="str">
        <f t="shared" si="248"/>
        <v>N</v>
      </c>
      <c r="S234" s="890" t="str">
        <f t="shared" si="249"/>
        <v>N</v>
      </c>
      <c r="T234" s="890" t="str">
        <f t="shared" si="250"/>
        <v>N</v>
      </c>
      <c r="U234" s="890" t="str">
        <f t="shared" si="251"/>
        <v>N</v>
      </c>
      <c r="V234" s="890" t="str">
        <f t="shared" si="252"/>
        <v>N</v>
      </c>
      <c r="W234" s="890" t="str">
        <f t="shared" si="253"/>
        <v>N</v>
      </c>
      <c r="X234" s="890" t="str">
        <f t="shared" si="254"/>
        <v>N</v>
      </c>
      <c r="Y234" s="890" t="str">
        <f t="shared" si="255"/>
        <v>N</v>
      </c>
      <c r="Z234" s="890" t="str">
        <f t="shared" si="256"/>
        <v>N</v>
      </c>
      <c r="AA234" s="890" t="str">
        <f t="shared" si="257"/>
        <v>N</v>
      </c>
      <c r="AB234" s="890" t="str">
        <f t="shared" si="258"/>
        <v>N</v>
      </c>
      <c r="AC234" s="890" t="str">
        <f t="shared" si="259"/>
        <v>N</v>
      </c>
      <c r="AD234" s="891"/>
      <c r="AE234" s="884"/>
      <c r="AF234" s="885"/>
      <c r="AG234" s="886"/>
      <c r="AH234" s="887"/>
      <c r="AI234" s="888"/>
      <c r="AK234" s="252"/>
      <c r="AL234" s="254"/>
      <c r="AM234" s="254"/>
      <c r="AN234" s="254"/>
      <c r="AO234" s="254"/>
      <c r="AP234" s="254"/>
      <c r="AQ234" s="254"/>
      <c r="AR234" s="254"/>
      <c r="AS234" s="254"/>
      <c r="AT234" s="254"/>
      <c r="AU234" s="254"/>
      <c r="AV234" s="254"/>
      <c r="AW234" s="254"/>
      <c r="AX234" s="254"/>
      <c r="AY234" s="254"/>
    </row>
    <row r="235" spans="2:51" x14ac:dyDescent="0.3">
      <c r="B235" s="1151"/>
      <c r="C235" s="770" t="s">
        <v>431</v>
      </c>
      <c r="D235" s="892" t="s">
        <v>453</v>
      </c>
      <c r="E235" s="890" t="s">
        <v>453</v>
      </c>
      <c r="F235" s="890" t="s">
        <v>453</v>
      </c>
      <c r="G235" s="890" t="str">
        <f t="shared" si="247"/>
        <v>N</v>
      </c>
      <c r="H235" s="890"/>
      <c r="I235" s="890"/>
      <c r="J235" s="890"/>
      <c r="K235" s="890"/>
      <c r="L235" s="890" t="s">
        <v>453</v>
      </c>
      <c r="M235" s="890" t="s">
        <v>453</v>
      </c>
      <c r="N235" s="890" t="s">
        <v>453</v>
      </c>
      <c r="O235" s="890"/>
      <c r="P235" s="890" t="str">
        <f t="shared" si="248"/>
        <v>N</v>
      </c>
      <c r="Q235" s="890" t="str">
        <f t="shared" si="248"/>
        <v>N</v>
      </c>
      <c r="R235" s="890" t="str">
        <f t="shared" si="248"/>
        <v>A</v>
      </c>
      <c r="S235" s="890" t="str">
        <f t="shared" si="249"/>
        <v>A</v>
      </c>
      <c r="T235" s="890" t="str">
        <f t="shared" si="250"/>
        <v>A</v>
      </c>
      <c r="U235" s="890" t="str">
        <f t="shared" si="251"/>
        <v>N</v>
      </c>
      <c r="V235" s="890" t="str">
        <f t="shared" si="252"/>
        <v>A</v>
      </c>
      <c r="W235" s="890" t="str">
        <f t="shared" si="253"/>
        <v>N</v>
      </c>
      <c r="X235" s="890" t="str">
        <f t="shared" si="254"/>
        <v>N</v>
      </c>
      <c r="Y235" s="890" t="str">
        <f t="shared" si="255"/>
        <v>A</v>
      </c>
      <c r="Z235" s="890" t="str">
        <f t="shared" si="256"/>
        <v>A</v>
      </c>
      <c r="AA235" s="890" t="str">
        <f t="shared" si="257"/>
        <v>A</v>
      </c>
      <c r="AB235" s="890" t="str">
        <f t="shared" si="258"/>
        <v>N</v>
      </c>
      <c r="AC235" s="890" t="str">
        <f t="shared" si="259"/>
        <v>A</v>
      </c>
      <c r="AD235" s="891"/>
      <c r="AE235" s="884"/>
      <c r="AF235" s="885"/>
      <c r="AG235" s="886"/>
      <c r="AH235" s="887"/>
      <c r="AI235" s="888"/>
      <c r="AK235" s="252"/>
      <c r="AL235" s="254"/>
      <c r="AM235" s="254"/>
      <c r="AN235" s="254"/>
      <c r="AO235" s="254"/>
      <c r="AP235" s="254"/>
      <c r="AQ235" s="254"/>
      <c r="AR235" s="254"/>
      <c r="AS235" s="254"/>
      <c r="AT235" s="254"/>
      <c r="AU235" s="254"/>
      <c r="AV235" s="254"/>
      <c r="AW235" s="254"/>
      <c r="AX235" s="254"/>
      <c r="AY235" s="254"/>
    </row>
    <row r="236" spans="2:51" x14ac:dyDescent="0.3">
      <c r="B236" s="893"/>
      <c r="C236" s="894" t="s">
        <v>461</v>
      </c>
      <c r="D236" s="895">
        <v>0</v>
      </c>
      <c r="E236" s="896">
        <v>0</v>
      </c>
      <c r="F236" s="897">
        <v>0</v>
      </c>
      <c r="G236" s="897">
        <f t="shared" si="247"/>
        <v>0.25</v>
      </c>
      <c r="H236" s="897"/>
      <c r="I236" s="897"/>
      <c r="J236" s="897"/>
      <c r="K236" s="897"/>
      <c r="L236" s="897">
        <v>0</v>
      </c>
      <c r="M236" s="897">
        <v>0</v>
      </c>
      <c r="N236" s="897">
        <v>0</v>
      </c>
      <c r="O236" s="897"/>
      <c r="P236" s="897">
        <f t="shared" si="248"/>
        <v>0</v>
      </c>
      <c r="Q236" s="897">
        <f t="shared" si="248"/>
        <v>0.25</v>
      </c>
      <c r="R236" s="897">
        <f t="shared" si="248"/>
        <v>0.2</v>
      </c>
      <c r="S236" s="897">
        <f t="shared" si="249"/>
        <v>0.2</v>
      </c>
      <c r="T236" s="897">
        <f t="shared" si="250"/>
        <v>0.2</v>
      </c>
      <c r="U236" s="897">
        <f t="shared" si="251"/>
        <v>0.25</v>
      </c>
      <c r="V236" s="897">
        <f t="shared" si="252"/>
        <v>0.35</v>
      </c>
      <c r="W236" s="897">
        <f t="shared" ref="W236" si="260">W20</f>
        <v>0.25</v>
      </c>
      <c r="X236" s="897">
        <f t="shared" si="254"/>
        <v>0.25</v>
      </c>
      <c r="Y236" s="897">
        <f t="shared" si="255"/>
        <v>0.2</v>
      </c>
      <c r="Z236" s="897">
        <f t="shared" si="256"/>
        <v>0.2</v>
      </c>
      <c r="AA236" s="897">
        <f t="shared" si="257"/>
        <v>0.35</v>
      </c>
      <c r="AB236" s="897">
        <f t="shared" si="258"/>
        <v>0.25</v>
      </c>
      <c r="AC236" s="897">
        <f t="shared" si="259"/>
        <v>0.2</v>
      </c>
      <c r="AD236" s="898"/>
      <c r="AE236" s="899"/>
      <c r="AF236" s="900"/>
      <c r="AG236" s="901"/>
      <c r="AH236" s="901"/>
      <c r="AI236" s="902"/>
      <c r="AK236" s="252"/>
      <c r="AL236" s="254"/>
      <c r="AM236" s="254"/>
      <c r="AN236" s="254"/>
      <c r="AO236" s="254"/>
      <c r="AP236" s="254"/>
      <c r="AQ236" s="254"/>
      <c r="AR236" s="254"/>
      <c r="AS236" s="254"/>
      <c r="AT236" s="254"/>
      <c r="AU236" s="254"/>
      <c r="AV236" s="254"/>
      <c r="AW236" s="254"/>
      <c r="AX236" s="254"/>
      <c r="AY236" s="254"/>
    </row>
    <row r="237" spans="2:51" ht="15" thickBot="1" x14ac:dyDescent="0.35">
      <c r="B237" s="839"/>
      <c r="C237" s="840" t="s">
        <v>535</v>
      </c>
      <c r="D237" s="841"/>
      <c r="E237" s="841"/>
      <c r="F237" s="841"/>
      <c r="G237" s="842"/>
      <c r="H237" s="842"/>
      <c r="I237" s="842"/>
      <c r="J237" s="842"/>
      <c r="K237" s="842"/>
      <c r="L237" s="842"/>
      <c r="M237" s="842"/>
      <c r="N237" s="842"/>
      <c r="O237" s="842"/>
      <c r="P237" s="842"/>
      <c r="Q237" s="842"/>
      <c r="R237" s="842"/>
      <c r="S237" s="842"/>
      <c r="T237" s="842"/>
      <c r="U237" s="842"/>
      <c r="V237" s="842"/>
      <c r="W237" s="842"/>
      <c r="X237" s="842"/>
      <c r="Y237" s="842"/>
      <c r="Z237" s="842"/>
      <c r="AA237" s="842"/>
      <c r="AB237" s="842"/>
      <c r="AC237" s="842"/>
      <c r="AD237" s="904"/>
      <c r="AE237" s="905"/>
      <c r="AF237" s="906">
        <f>'Procesy - AS IS'!AG60/(1+$AE208)-'Procesy - AS IS'!AG60</f>
        <v>0</v>
      </c>
      <c r="AG237" s="907">
        <f>'Procesy - AS IS'!AH60/(1+$AE208)-'Procesy - AS IS'!AH60</f>
        <v>0</v>
      </c>
      <c r="AH237" s="907">
        <f>'Procesy - AS IS'!AI60/(1+$AE208)-'Procesy - AS IS'!AI60</f>
        <v>0</v>
      </c>
      <c r="AI237" s="908">
        <f>'Procesy - AS IS'!AJ60/(1+$AE208)-'Procesy - AS IS'!AJ60</f>
        <v>0</v>
      </c>
      <c r="AK237" s="252"/>
      <c r="AL237" s="254"/>
      <c r="AM237" s="254"/>
      <c r="AN237" s="254"/>
      <c r="AO237" s="254"/>
      <c r="AP237" s="254"/>
      <c r="AQ237" s="254"/>
      <c r="AR237" s="254"/>
      <c r="AS237" s="254"/>
      <c r="AT237" s="254"/>
      <c r="AU237" s="254"/>
      <c r="AV237" s="254"/>
      <c r="AW237" s="254"/>
      <c r="AX237" s="254"/>
      <c r="AY237" s="254"/>
    </row>
    <row r="238" spans="2:51" ht="14.4" customHeight="1" x14ac:dyDescent="0.3">
      <c r="B238" s="756" t="str">
        <f>'Procesy - AS IS'!B61</f>
        <v>Zdroj 5</v>
      </c>
      <c r="C238" s="757" t="str">
        <f>'Procesy - AS IS'!C61</f>
        <v>Inšpekcia biologickej bezpečnosti</v>
      </c>
      <c r="D238" s="872">
        <f>D239*$AF239/($AF238-$AF281)+D253*$AF253/($AF238-$AF281)+D267*$AF267/($AF238-$AF281)</f>
        <v>0</v>
      </c>
      <c r="E238" s="750">
        <f>E239*$AF239/($AF238-$AF281)+E253*$AF253/($AF238-$AF281)+E267*$AF267/($AF238-$AF281)</f>
        <v>-1.9992035672175308</v>
      </c>
      <c r="F238" s="750">
        <f>F239*$AF239/($AF238-$AF281)+F253*$AF253/($AF238-$AF281)+F267*$AF267/($AF238-$AF281)</f>
        <v>-1.1518207826196427</v>
      </c>
      <c r="G238" s="760">
        <f>G239*$AF239/($AF238-$AF281)+G253*$AF253/($AF238-$AF281)+G267*$AF267/($AF238-$AF281)</f>
        <v>-1.6615843024642729</v>
      </c>
      <c r="H238" s="753"/>
      <c r="I238" s="753"/>
      <c r="J238" s="753"/>
      <c r="K238" s="753"/>
      <c r="L238" s="760">
        <f>L239*$AF239/($AF238-$AF281)+L253*$AF253/($AF238-$AF281)+L267*$AF267/($AF238-$AF281)</f>
        <v>-0.76257466557335651</v>
      </c>
      <c r="M238" s="760">
        <f>M239*$AF239/($AF238-$AF281)+M253*$AF253/($AF238-$AF281)+M267*$AF267/($AF238-$AF281)</f>
        <v>0</v>
      </c>
      <c r="N238" s="750"/>
      <c r="O238" s="750"/>
      <c r="P238" s="750">
        <f t="shared" ref="P238:AC238" si="261">P239*$AF239/($AF238-$AF281)+P253*$AF253/($AF238-$AF281)+P267*$AF267/($AF238-$AF281)</f>
        <v>0</v>
      </c>
      <c r="Q238" s="750">
        <f t="shared" si="261"/>
        <v>0</v>
      </c>
      <c r="R238" s="750">
        <f t="shared" si="261"/>
        <v>-0.33270926691788788</v>
      </c>
      <c r="S238" s="750">
        <f t="shared" si="261"/>
        <v>-0.85291480845832257</v>
      </c>
      <c r="T238" s="750">
        <f t="shared" si="261"/>
        <v>-0.16635463345894394</v>
      </c>
      <c r="U238" s="750">
        <f t="shared" si="261"/>
        <v>-0.95273340624974123</v>
      </c>
      <c r="V238" s="750">
        <f t="shared" si="261"/>
        <v>-1.3235899422122694</v>
      </c>
      <c r="W238" s="750">
        <f t="shared" si="261"/>
        <v>0</v>
      </c>
      <c r="X238" s="750">
        <f t="shared" si="261"/>
        <v>0</v>
      </c>
      <c r="Y238" s="750">
        <f t="shared" si="261"/>
        <v>0</v>
      </c>
      <c r="Z238" s="750">
        <f t="shared" si="261"/>
        <v>0</v>
      </c>
      <c r="AA238" s="750">
        <f t="shared" si="261"/>
        <v>0</v>
      </c>
      <c r="AB238" s="750">
        <f t="shared" si="261"/>
        <v>0</v>
      </c>
      <c r="AC238" s="751">
        <f t="shared" si="261"/>
        <v>0</v>
      </c>
      <c r="AD238" s="909">
        <f>SUM(AD239:AD280)</f>
        <v>-35.259688995215306</v>
      </c>
      <c r="AE238" s="874">
        <f>-SUM(AF239:AF280)/('Procesy - AS IS'!AG61+SUM(AF239:AF280))</f>
        <v>-0.20097472634076016</v>
      </c>
      <c r="AF238" s="910">
        <f>SUM(AF239:AF281)</f>
        <v>44.016851868232919</v>
      </c>
      <c r="AG238" s="911">
        <f>SUM(AG239:AG281)</f>
        <v>4.4718987186184442</v>
      </c>
      <c r="AH238" s="877">
        <f>SUM(AH239:AH281)</f>
        <v>0</v>
      </c>
      <c r="AI238" s="912">
        <f>SUM(AI239:AI281)</f>
        <v>0</v>
      </c>
      <c r="AK238" s="252"/>
      <c r="AL238" s="254"/>
      <c r="AM238" s="254"/>
      <c r="AN238" s="254"/>
      <c r="AO238" s="254"/>
      <c r="AP238" s="254"/>
      <c r="AQ238" s="254"/>
      <c r="AR238" s="254"/>
      <c r="AS238" s="254"/>
      <c r="AT238" s="254"/>
      <c r="AU238" s="254"/>
      <c r="AV238" s="254"/>
      <c r="AW238" s="254"/>
      <c r="AX238" s="254"/>
      <c r="AY238" s="254"/>
    </row>
    <row r="239" spans="2:51" ht="28.8" customHeight="1" x14ac:dyDescent="0.3">
      <c r="B239" s="808" t="str">
        <f>'Procesy - AS IS'!B62</f>
        <v>Meranie č. 17</v>
      </c>
      <c r="C239" s="769" t="str">
        <f>'Procesy - AS IS'!$C$62</f>
        <v>PF UK, Kontrola uzavretých priestorov, 3651/2018</v>
      </c>
      <c r="D239" s="872">
        <f>-'Procesy - AS IS'!D64*D252</f>
        <v>0</v>
      </c>
      <c r="E239" s="752">
        <f>-'Procesy - AS IS'!E64*E252</f>
        <v>-8</v>
      </c>
      <c r="F239" s="752">
        <f>-'Procesy - AS IS'!F64*F252</f>
        <v>-0.5</v>
      </c>
      <c r="G239" s="752">
        <f>-'Procesy - AS IS'!G64*G252</f>
        <v>-4</v>
      </c>
      <c r="H239" s="752" t="s">
        <v>523</v>
      </c>
      <c r="I239" s="752" t="s">
        <v>523</v>
      </c>
      <c r="J239" s="752" t="s">
        <v>523</v>
      </c>
      <c r="K239" s="752" t="s">
        <v>523</v>
      </c>
      <c r="L239" s="752">
        <f>-'Procesy - AS IS'!L64*L252</f>
        <v>-0.2</v>
      </c>
      <c r="M239" s="752">
        <f>-'Procesy - AS IS'!M64*M252</f>
        <v>0</v>
      </c>
      <c r="N239" s="752" t="s">
        <v>525</v>
      </c>
      <c r="O239" s="752" t="s">
        <v>524</v>
      </c>
      <c r="P239" s="752">
        <f>-'Procesy - AS IS'!P64*P252</f>
        <v>0</v>
      </c>
      <c r="Q239" s="752">
        <f>-'Procesy - AS IS'!Q64*Q252</f>
        <v>0</v>
      </c>
      <c r="R239" s="752">
        <f>-'Procesy - AS IS'!R64*R252</f>
        <v>-0.29090909090909095</v>
      </c>
      <c r="S239" s="752">
        <f>-'Procesy - AS IS'!S64*S252</f>
        <v>-2.9090909090909092</v>
      </c>
      <c r="T239" s="752">
        <f>-'Procesy - AS IS'!T64*T252</f>
        <v>-0.14545454545454548</v>
      </c>
      <c r="U239" s="752">
        <f>-'Procesy - AS IS'!U64*U252</f>
        <v>-1.8181818181818181</v>
      </c>
      <c r="V239" s="752">
        <f>-'Procesy - AS IS'!V64*V252</f>
        <v>-0.17499999999999999</v>
      </c>
      <c r="W239" s="752">
        <f>-'Procesy - AS IS'!W64*W252</f>
        <v>0</v>
      </c>
      <c r="X239" s="752">
        <f>-'Procesy - AS IS'!X64*X252</f>
        <v>0</v>
      </c>
      <c r="Y239" s="752">
        <f>-'Procesy - AS IS'!Y64*Y252</f>
        <v>0</v>
      </c>
      <c r="Z239" s="752">
        <f>-'Procesy - AS IS'!Z64*Z252</f>
        <v>0</v>
      </c>
      <c r="AA239" s="752">
        <f>-'Procesy - AS IS'!AA64*AA252</f>
        <v>0</v>
      </c>
      <c r="AB239" s="752">
        <f>-'Procesy - AS IS'!AB64*AB252</f>
        <v>0</v>
      </c>
      <c r="AC239" s="752">
        <f>-'Procesy - AS IS'!AC64*AC252</f>
        <v>0</v>
      </c>
      <c r="AD239" s="903">
        <f>SUM(D239:AC239)</f>
        <v>-18.03863636363636</v>
      </c>
      <c r="AE239" s="880">
        <f>AD239/'Procesy - AS IS'!AD64</f>
        <v>-0.19607213438735174</v>
      </c>
      <c r="AF239" s="881">
        <f>'Procesy - AS IS'!AG64/(1+$AE239)-'Procesy - AS IS'!AG64</f>
        <v>2.6828196539962494</v>
      </c>
      <c r="AG239" s="882">
        <f>'Procesy - AS IS'!AH64/(1+$AE239)-'Procesy - AS IS'!AH64</f>
        <v>0.2438926958178409</v>
      </c>
      <c r="AH239" s="877">
        <f>'Procesy - AS IS'!AI64/(1+$AE239)-'Procesy - AS IS'!AI64</f>
        <v>0</v>
      </c>
      <c r="AI239" s="878">
        <f>'Procesy - AS IS'!AJ64/(1+$AE239)-'Procesy - AS IS'!AJ64</f>
        <v>0</v>
      </c>
      <c r="AK239" s="252"/>
      <c r="AL239" s="254"/>
      <c r="AM239" s="254"/>
      <c r="AN239" s="254"/>
      <c r="AO239" s="254"/>
      <c r="AP239" s="254"/>
      <c r="AQ239" s="254"/>
      <c r="AR239" s="254"/>
      <c r="AS239" s="254"/>
      <c r="AT239" s="254"/>
      <c r="AU239" s="254"/>
      <c r="AV239" s="254"/>
      <c r="AW239" s="254"/>
      <c r="AX239" s="254"/>
      <c r="AY239" s="254"/>
    </row>
    <row r="240" spans="2:51" x14ac:dyDescent="0.3">
      <c r="B240" s="1150" t="s">
        <v>451</v>
      </c>
      <c r="C240" s="766" t="s">
        <v>409</v>
      </c>
      <c r="D240" s="892" t="s">
        <v>453</v>
      </c>
      <c r="E240" s="890" t="s">
        <v>452</v>
      </c>
      <c r="F240" s="890" t="str">
        <f t="shared" ref="F240:G252" si="262">F50</f>
        <v>A</v>
      </c>
      <c r="G240" s="890" t="str">
        <f t="shared" si="262"/>
        <v>A</v>
      </c>
      <c r="H240" s="890"/>
      <c r="I240" s="890"/>
      <c r="J240" s="890"/>
      <c r="K240" s="890"/>
      <c r="L240" s="890" t="str">
        <f t="shared" ref="L240:L252" si="263">L66</f>
        <v>A</v>
      </c>
      <c r="M240" s="890" t="s">
        <v>453</v>
      </c>
      <c r="N240" s="890" t="s">
        <v>453</v>
      </c>
      <c r="O240" s="890"/>
      <c r="P240" s="890" t="str">
        <f t="shared" ref="P240:P252" si="264">P194</f>
        <v>N</v>
      </c>
      <c r="Q240" s="890" t="str">
        <f t="shared" ref="Q240:Q252" si="265">G240</f>
        <v>A</v>
      </c>
      <c r="R240" s="890" t="str">
        <f t="shared" ref="R240:R251" si="266">R7</f>
        <v>A</v>
      </c>
      <c r="S240" s="890" t="str">
        <f t="shared" ref="S240:S252" si="267">R240</f>
        <v>A</v>
      </c>
      <c r="T240" s="890" t="str">
        <f t="shared" ref="T240:T252" si="268">R240</f>
        <v>A</v>
      </c>
      <c r="U240" s="890" t="str">
        <f t="shared" ref="U240:U252" si="269">G240</f>
        <v>A</v>
      </c>
      <c r="V240" s="890" t="str">
        <f t="shared" ref="V240:W251" si="270">V7</f>
        <v>A</v>
      </c>
      <c r="W240" s="890" t="str">
        <f t="shared" si="270"/>
        <v>A</v>
      </c>
      <c r="X240" s="890" t="str">
        <f t="shared" ref="X240:X252" si="271">G240</f>
        <v>A</v>
      </c>
      <c r="Y240" s="890" t="str">
        <f t="shared" ref="Y240:Y252" si="272">R240</f>
        <v>A</v>
      </c>
      <c r="Z240" s="890" t="str">
        <f t="shared" ref="Z240:Z252" si="273">R240</f>
        <v>A</v>
      </c>
      <c r="AA240" s="890" t="str">
        <f t="shared" ref="AA240:AA252" si="274">$V240</f>
        <v>A</v>
      </c>
      <c r="AB240" s="890" t="str">
        <f t="shared" ref="AB240:AB252" si="275">G240</f>
        <v>A</v>
      </c>
      <c r="AC240" s="890" t="str">
        <f t="shared" ref="AC240:AC252" si="276">R240</f>
        <v>A</v>
      </c>
      <c r="AD240" s="891"/>
      <c r="AE240" s="884"/>
      <c r="AF240" s="885"/>
      <c r="AG240" s="886"/>
      <c r="AH240" s="887"/>
      <c r="AI240" s="888"/>
      <c r="AK240" s="252"/>
      <c r="AL240" s="254"/>
      <c r="AM240" s="254"/>
      <c r="AN240" s="254"/>
      <c r="AO240" s="254"/>
      <c r="AP240" s="254"/>
      <c r="AQ240" s="254"/>
      <c r="AR240" s="254"/>
      <c r="AS240" s="254"/>
      <c r="AT240" s="254"/>
      <c r="AU240" s="254"/>
      <c r="AV240" s="254"/>
      <c r="AW240" s="254"/>
      <c r="AX240" s="254"/>
      <c r="AY240" s="254"/>
    </row>
    <row r="241" spans="2:51" x14ac:dyDescent="0.3">
      <c r="B241" s="1151"/>
      <c r="C241" s="766" t="s">
        <v>411</v>
      </c>
      <c r="D241" s="889" t="s">
        <v>453</v>
      </c>
      <c r="E241" s="890" t="s">
        <v>453</v>
      </c>
      <c r="F241" s="890" t="str">
        <f t="shared" si="262"/>
        <v>N</v>
      </c>
      <c r="G241" s="890" t="str">
        <f t="shared" si="262"/>
        <v>N</v>
      </c>
      <c r="H241" s="890"/>
      <c r="I241" s="890"/>
      <c r="J241" s="890"/>
      <c r="K241" s="890"/>
      <c r="L241" s="890" t="str">
        <f t="shared" si="263"/>
        <v>N</v>
      </c>
      <c r="M241" s="890" t="s">
        <v>453</v>
      </c>
      <c r="N241" s="890" t="s">
        <v>453</v>
      </c>
      <c r="O241" s="890"/>
      <c r="P241" s="890" t="str">
        <f t="shared" si="264"/>
        <v>N</v>
      </c>
      <c r="Q241" s="890" t="str">
        <f t="shared" si="265"/>
        <v>N</v>
      </c>
      <c r="R241" s="890" t="str">
        <f t="shared" si="266"/>
        <v>N</v>
      </c>
      <c r="S241" s="890" t="str">
        <f t="shared" si="267"/>
        <v>N</v>
      </c>
      <c r="T241" s="890" t="str">
        <f t="shared" si="268"/>
        <v>N</v>
      </c>
      <c r="U241" s="890" t="str">
        <f t="shared" si="269"/>
        <v>N</v>
      </c>
      <c r="V241" s="890" t="str">
        <f t="shared" si="270"/>
        <v>N</v>
      </c>
      <c r="W241" s="890" t="str">
        <f t="shared" si="270"/>
        <v>N</v>
      </c>
      <c r="X241" s="890" t="str">
        <f t="shared" si="271"/>
        <v>N</v>
      </c>
      <c r="Y241" s="890" t="str">
        <f t="shared" si="272"/>
        <v>N</v>
      </c>
      <c r="Z241" s="890" t="str">
        <f t="shared" si="273"/>
        <v>N</v>
      </c>
      <c r="AA241" s="890" t="str">
        <f t="shared" si="274"/>
        <v>N</v>
      </c>
      <c r="AB241" s="890" t="str">
        <f t="shared" si="275"/>
        <v>N</v>
      </c>
      <c r="AC241" s="890" t="str">
        <f t="shared" si="276"/>
        <v>N</v>
      </c>
      <c r="AD241" s="891"/>
      <c r="AE241" s="884"/>
      <c r="AF241" s="885"/>
      <c r="AG241" s="886"/>
      <c r="AH241" s="887"/>
      <c r="AI241" s="888"/>
      <c r="AK241" s="252"/>
      <c r="AL241" s="254"/>
      <c r="AM241" s="254"/>
      <c r="AN241" s="254"/>
      <c r="AO241" s="254"/>
      <c r="AP241" s="254"/>
      <c r="AQ241" s="254"/>
      <c r="AR241" s="254"/>
      <c r="AS241" s="254"/>
      <c r="AT241" s="254"/>
      <c r="AU241" s="254"/>
      <c r="AV241" s="254"/>
      <c r="AW241" s="254"/>
      <c r="AX241" s="254"/>
      <c r="AY241" s="254"/>
    </row>
    <row r="242" spans="2:51" x14ac:dyDescent="0.3">
      <c r="B242" s="1151"/>
      <c r="C242" s="766" t="s">
        <v>413</v>
      </c>
      <c r="D242" s="889" t="s">
        <v>453</v>
      </c>
      <c r="E242" s="890" t="s">
        <v>453</v>
      </c>
      <c r="F242" s="890" t="str">
        <f t="shared" si="262"/>
        <v>N</v>
      </c>
      <c r="G242" s="890" t="str">
        <f t="shared" si="262"/>
        <v>N</v>
      </c>
      <c r="H242" s="890"/>
      <c r="I242" s="890"/>
      <c r="J242" s="890"/>
      <c r="K242" s="890"/>
      <c r="L242" s="890" t="str">
        <f t="shared" si="263"/>
        <v>N</v>
      </c>
      <c r="M242" s="890" t="s">
        <v>453</v>
      </c>
      <c r="N242" s="890" t="s">
        <v>453</v>
      </c>
      <c r="O242" s="890"/>
      <c r="P242" s="890" t="str">
        <f t="shared" si="264"/>
        <v>N</v>
      </c>
      <c r="Q242" s="890" t="str">
        <f t="shared" si="265"/>
        <v>N</v>
      </c>
      <c r="R242" s="890" t="str">
        <f t="shared" si="266"/>
        <v>N</v>
      </c>
      <c r="S242" s="890" t="str">
        <f t="shared" si="267"/>
        <v>N</v>
      </c>
      <c r="T242" s="890" t="str">
        <f t="shared" si="268"/>
        <v>N</v>
      </c>
      <c r="U242" s="890" t="str">
        <f t="shared" si="269"/>
        <v>N</v>
      </c>
      <c r="V242" s="890" t="str">
        <f t="shared" si="270"/>
        <v>N</v>
      </c>
      <c r="W242" s="890" t="str">
        <f t="shared" si="270"/>
        <v>N</v>
      </c>
      <c r="X242" s="890" t="str">
        <f t="shared" si="271"/>
        <v>N</v>
      </c>
      <c r="Y242" s="890" t="str">
        <f t="shared" si="272"/>
        <v>N</v>
      </c>
      <c r="Z242" s="890" t="str">
        <f t="shared" si="273"/>
        <v>N</v>
      </c>
      <c r="AA242" s="890" t="str">
        <f t="shared" si="274"/>
        <v>N</v>
      </c>
      <c r="AB242" s="890" t="str">
        <f t="shared" si="275"/>
        <v>N</v>
      </c>
      <c r="AC242" s="890" t="str">
        <f t="shared" si="276"/>
        <v>N</v>
      </c>
      <c r="AD242" s="891"/>
      <c r="AE242" s="884"/>
      <c r="AF242" s="885"/>
      <c r="AG242" s="886"/>
      <c r="AH242" s="887"/>
      <c r="AI242" s="888"/>
      <c r="AK242" s="252"/>
      <c r="AL242" s="254"/>
      <c r="AM242" s="254"/>
      <c r="AN242" s="254"/>
      <c r="AO242" s="254"/>
      <c r="AP242" s="254"/>
      <c r="AQ242" s="254"/>
      <c r="AR242" s="254"/>
      <c r="AS242" s="254"/>
      <c r="AT242" s="254"/>
      <c r="AU242" s="254"/>
      <c r="AV242" s="254"/>
      <c r="AW242" s="254"/>
      <c r="AX242" s="254"/>
      <c r="AY242" s="254"/>
    </row>
    <row r="243" spans="2:51" x14ac:dyDescent="0.3">
      <c r="B243" s="1151"/>
      <c r="C243" s="766" t="s">
        <v>415</v>
      </c>
      <c r="D243" s="892" t="s">
        <v>453</v>
      </c>
      <c r="E243" s="890" t="s">
        <v>453</v>
      </c>
      <c r="F243" s="890" t="str">
        <f t="shared" si="262"/>
        <v>N</v>
      </c>
      <c r="G243" s="890" t="str">
        <f t="shared" si="262"/>
        <v>N</v>
      </c>
      <c r="H243" s="890"/>
      <c r="I243" s="890"/>
      <c r="J243" s="890"/>
      <c r="K243" s="890"/>
      <c r="L243" s="890" t="str">
        <f t="shared" si="263"/>
        <v>N</v>
      </c>
      <c r="M243" s="890" t="s">
        <v>453</v>
      </c>
      <c r="N243" s="890" t="s">
        <v>453</v>
      </c>
      <c r="O243" s="890"/>
      <c r="P243" s="890" t="str">
        <f t="shared" si="264"/>
        <v>N</v>
      </c>
      <c r="Q243" s="890" t="str">
        <f t="shared" si="265"/>
        <v>N</v>
      </c>
      <c r="R243" s="890" t="str">
        <f t="shared" si="266"/>
        <v>N</v>
      </c>
      <c r="S243" s="890" t="str">
        <f t="shared" si="267"/>
        <v>N</v>
      </c>
      <c r="T243" s="890" t="str">
        <f t="shared" si="268"/>
        <v>N</v>
      </c>
      <c r="U243" s="890" t="str">
        <f t="shared" si="269"/>
        <v>N</v>
      </c>
      <c r="V243" s="890" t="str">
        <f t="shared" si="270"/>
        <v>N</v>
      </c>
      <c r="W243" s="890" t="str">
        <f t="shared" si="270"/>
        <v>N</v>
      </c>
      <c r="X243" s="890" t="str">
        <f t="shared" si="271"/>
        <v>N</v>
      </c>
      <c r="Y243" s="890" t="str">
        <f t="shared" si="272"/>
        <v>N</v>
      </c>
      <c r="Z243" s="890" t="str">
        <f t="shared" si="273"/>
        <v>N</v>
      </c>
      <c r="AA243" s="890" t="str">
        <f t="shared" si="274"/>
        <v>N</v>
      </c>
      <c r="AB243" s="890" t="str">
        <f t="shared" si="275"/>
        <v>N</v>
      </c>
      <c r="AC243" s="890" t="str">
        <f t="shared" si="276"/>
        <v>N</v>
      </c>
      <c r="AD243" s="891"/>
      <c r="AE243" s="884"/>
      <c r="AF243" s="885"/>
      <c r="AG243" s="886"/>
      <c r="AH243" s="887"/>
      <c r="AI243" s="888"/>
      <c r="AK243" s="252"/>
      <c r="AL243" s="254"/>
      <c r="AM243" s="254"/>
      <c r="AN243" s="254"/>
      <c r="AO243" s="254"/>
      <c r="AP243" s="254"/>
      <c r="AQ243" s="254"/>
      <c r="AR243" s="254"/>
      <c r="AS243" s="254"/>
      <c r="AT243" s="254"/>
      <c r="AU243" s="254"/>
      <c r="AV243" s="254"/>
      <c r="AW243" s="254"/>
      <c r="AX243" s="254"/>
      <c r="AY243" s="254"/>
    </row>
    <row r="244" spans="2:51" x14ac:dyDescent="0.3">
      <c r="B244" s="1151"/>
      <c r="C244" s="766" t="s">
        <v>417</v>
      </c>
      <c r="D244" s="892" t="s">
        <v>453</v>
      </c>
      <c r="E244" s="890" t="s">
        <v>452</v>
      </c>
      <c r="F244" s="890" t="str">
        <f t="shared" si="262"/>
        <v>A</v>
      </c>
      <c r="G244" s="890" t="str">
        <f t="shared" si="262"/>
        <v>A</v>
      </c>
      <c r="H244" s="890"/>
      <c r="I244" s="890"/>
      <c r="J244" s="890"/>
      <c r="K244" s="890"/>
      <c r="L244" s="890" t="str">
        <f t="shared" si="263"/>
        <v>A</v>
      </c>
      <c r="M244" s="890" t="s">
        <v>453</v>
      </c>
      <c r="N244" s="890" t="s">
        <v>453</v>
      </c>
      <c r="O244" s="890"/>
      <c r="P244" s="890" t="str">
        <f t="shared" si="264"/>
        <v>N</v>
      </c>
      <c r="Q244" s="890" t="str">
        <f t="shared" si="265"/>
        <v>A</v>
      </c>
      <c r="R244" s="890" t="str">
        <f t="shared" si="266"/>
        <v>A</v>
      </c>
      <c r="S244" s="890" t="str">
        <f t="shared" si="267"/>
        <v>A</v>
      </c>
      <c r="T244" s="890" t="str">
        <f t="shared" si="268"/>
        <v>A</v>
      </c>
      <c r="U244" s="890" t="str">
        <f t="shared" si="269"/>
        <v>A</v>
      </c>
      <c r="V244" s="890" t="str">
        <f t="shared" si="270"/>
        <v>A</v>
      </c>
      <c r="W244" s="890" t="str">
        <f t="shared" si="270"/>
        <v>A</v>
      </c>
      <c r="X244" s="890" t="str">
        <f t="shared" si="271"/>
        <v>A</v>
      </c>
      <c r="Y244" s="890" t="str">
        <f t="shared" si="272"/>
        <v>A</v>
      </c>
      <c r="Z244" s="890" t="str">
        <f t="shared" si="273"/>
        <v>A</v>
      </c>
      <c r="AA244" s="890" t="str">
        <f t="shared" si="274"/>
        <v>A</v>
      </c>
      <c r="AB244" s="890" t="str">
        <f t="shared" si="275"/>
        <v>A</v>
      </c>
      <c r="AC244" s="890" t="str">
        <f t="shared" si="276"/>
        <v>A</v>
      </c>
      <c r="AD244" s="891"/>
      <c r="AE244" s="884"/>
      <c r="AF244" s="885"/>
      <c r="AG244" s="886"/>
      <c r="AH244" s="887"/>
      <c r="AI244" s="888"/>
      <c r="AK244" s="252"/>
      <c r="AL244" s="254"/>
      <c r="AM244" s="254"/>
      <c r="AN244" s="254"/>
      <c r="AO244" s="254"/>
      <c r="AP244" s="254"/>
      <c r="AQ244" s="254"/>
      <c r="AR244" s="254"/>
      <c r="AS244" s="254"/>
      <c r="AT244" s="254"/>
      <c r="AU244" s="254"/>
      <c r="AV244" s="254"/>
      <c r="AW244" s="254"/>
      <c r="AX244" s="254"/>
      <c r="AY244" s="254"/>
    </row>
    <row r="245" spans="2:51" x14ac:dyDescent="0.3">
      <c r="B245" s="1151"/>
      <c r="C245" s="766" t="s">
        <v>419</v>
      </c>
      <c r="D245" s="892" t="s">
        <v>453</v>
      </c>
      <c r="E245" s="890" t="s">
        <v>452</v>
      </c>
      <c r="F245" s="890" t="str">
        <f t="shared" si="262"/>
        <v>A</v>
      </c>
      <c r="G245" s="890" t="str">
        <f t="shared" si="262"/>
        <v>A</v>
      </c>
      <c r="H245" s="890"/>
      <c r="I245" s="890"/>
      <c r="J245" s="890"/>
      <c r="K245" s="890"/>
      <c r="L245" s="890" t="str">
        <f t="shared" si="263"/>
        <v>A</v>
      </c>
      <c r="M245" s="890" t="s">
        <v>453</v>
      </c>
      <c r="N245" s="890" t="s">
        <v>453</v>
      </c>
      <c r="O245" s="890"/>
      <c r="P245" s="890" t="str">
        <f t="shared" si="264"/>
        <v>N</v>
      </c>
      <c r="Q245" s="890" t="str">
        <f t="shared" si="265"/>
        <v>A</v>
      </c>
      <c r="R245" s="890" t="str">
        <f t="shared" si="266"/>
        <v>A</v>
      </c>
      <c r="S245" s="890" t="str">
        <f t="shared" si="267"/>
        <v>A</v>
      </c>
      <c r="T245" s="890" t="str">
        <f t="shared" si="268"/>
        <v>A</v>
      </c>
      <c r="U245" s="890" t="str">
        <f t="shared" si="269"/>
        <v>A</v>
      </c>
      <c r="V245" s="890" t="str">
        <f t="shared" si="270"/>
        <v>A</v>
      </c>
      <c r="W245" s="890" t="str">
        <f t="shared" si="270"/>
        <v>A</v>
      </c>
      <c r="X245" s="890" t="str">
        <f t="shared" si="271"/>
        <v>A</v>
      </c>
      <c r="Y245" s="890" t="str">
        <f t="shared" si="272"/>
        <v>A</v>
      </c>
      <c r="Z245" s="890" t="str">
        <f t="shared" si="273"/>
        <v>A</v>
      </c>
      <c r="AA245" s="890" t="str">
        <f t="shared" si="274"/>
        <v>A</v>
      </c>
      <c r="AB245" s="890" t="str">
        <f t="shared" si="275"/>
        <v>A</v>
      </c>
      <c r="AC245" s="890" t="str">
        <f t="shared" si="276"/>
        <v>A</v>
      </c>
      <c r="AD245" s="891"/>
      <c r="AE245" s="884"/>
      <c r="AF245" s="885"/>
      <c r="AG245" s="886"/>
      <c r="AH245" s="887"/>
      <c r="AI245" s="888"/>
      <c r="AK245" s="252"/>
      <c r="AL245" s="254"/>
      <c r="AM245" s="254"/>
      <c r="AN245" s="254"/>
      <c r="AO245" s="254"/>
      <c r="AP245" s="254"/>
      <c r="AQ245" s="254"/>
      <c r="AR245" s="254"/>
      <c r="AS245" s="254"/>
      <c r="AT245" s="254"/>
      <c r="AU245" s="254"/>
      <c r="AV245" s="254"/>
      <c r="AW245" s="254"/>
      <c r="AX245" s="254"/>
      <c r="AY245" s="254"/>
    </row>
    <row r="246" spans="2:51" x14ac:dyDescent="0.3">
      <c r="B246" s="1151"/>
      <c r="C246" s="766" t="s">
        <v>421</v>
      </c>
      <c r="D246" s="892" t="s">
        <v>453</v>
      </c>
      <c r="E246" s="890" t="s">
        <v>453</v>
      </c>
      <c r="F246" s="890" t="str">
        <f t="shared" si="262"/>
        <v>N</v>
      </c>
      <c r="G246" s="890" t="str">
        <f t="shared" si="262"/>
        <v>A</v>
      </c>
      <c r="H246" s="890"/>
      <c r="I246" s="890"/>
      <c r="J246" s="890"/>
      <c r="K246" s="890"/>
      <c r="L246" s="890" t="str">
        <f t="shared" si="263"/>
        <v>N</v>
      </c>
      <c r="M246" s="890" t="s">
        <v>453</v>
      </c>
      <c r="N246" s="890" t="s">
        <v>453</v>
      </c>
      <c r="O246" s="890"/>
      <c r="P246" s="890" t="str">
        <f t="shared" si="264"/>
        <v>N</v>
      </c>
      <c r="Q246" s="890" t="str">
        <f t="shared" si="265"/>
        <v>A</v>
      </c>
      <c r="R246" s="890" t="str">
        <f t="shared" si="266"/>
        <v>N</v>
      </c>
      <c r="S246" s="890" t="str">
        <f t="shared" si="267"/>
        <v>N</v>
      </c>
      <c r="T246" s="890" t="str">
        <f t="shared" si="268"/>
        <v>N</v>
      </c>
      <c r="U246" s="890" t="str">
        <f t="shared" si="269"/>
        <v>A</v>
      </c>
      <c r="V246" s="890" t="str">
        <f t="shared" si="270"/>
        <v>A</v>
      </c>
      <c r="W246" s="890" t="str">
        <f t="shared" si="270"/>
        <v>A</v>
      </c>
      <c r="X246" s="890" t="str">
        <f t="shared" si="271"/>
        <v>A</v>
      </c>
      <c r="Y246" s="890" t="str">
        <f t="shared" si="272"/>
        <v>N</v>
      </c>
      <c r="Z246" s="890" t="str">
        <f t="shared" si="273"/>
        <v>N</v>
      </c>
      <c r="AA246" s="890" t="str">
        <f t="shared" si="274"/>
        <v>A</v>
      </c>
      <c r="AB246" s="890" t="str">
        <f t="shared" si="275"/>
        <v>A</v>
      </c>
      <c r="AC246" s="890" t="str">
        <f t="shared" si="276"/>
        <v>N</v>
      </c>
      <c r="AD246" s="891"/>
      <c r="AE246" s="884"/>
      <c r="AF246" s="885"/>
      <c r="AG246" s="886"/>
      <c r="AH246" s="887"/>
      <c r="AI246" s="888"/>
      <c r="AK246" s="252"/>
      <c r="AL246" s="254"/>
      <c r="AM246" s="254"/>
      <c r="AN246" s="254"/>
      <c r="AO246" s="254"/>
      <c r="AP246" s="254"/>
      <c r="AQ246" s="254"/>
      <c r="AR246" s="254"/>
      <c r="AS246" s="254"/>
      <c r="AT246" s="254"/>
      <c r="AU246" s="254"/>
      <c r="AV246" s="254"/>
      <c r="AW246" s="254"/>
      <c r="AX246" s="254"/>
      <c r="AY246" s="254"/>
    </row>
    <row r="247" spans="2:51" x14ac:dyDescent="0.3">
      <c r="B247" s="1151"/>
      <c r="C247" s="766" t="s">
        <v>423</v>
      </c>
      <c r="D247" s="892" t="s">
        <v>453</v>
      </c>
      <c r="E247" s="890" t="s">
        <v>452</v>
      </c>
      <c r="F247" s="890" t="str">
        <f t="shared" si="262"/>
        <v>N</v>
      </c>
      <c r="G247" s="890" t="str">
        <f t="shared" si="262"/>
        <v>A</v>
      </c>
      <c r="H247" s="890"/>
      <c r="I247" s="890"/>
      <c r="J247" s="890"/>
      <c r="K247" s="890"/>
      <c r="L247" s="890" t="str">
        <f t="shared" si="263"/>
        <v>N</v>
      </c>
      <c r="M247" s="890" t="s">
        <v>453</v>
      </c>
      <c r="N247" s="890" t="s">
        <v>453</v>
      </c>
      <c r="O247" s="890"/>
      <c r="P247" s="890" t="str">
        <f t="shared" si="264"/>
        <v>N</v>
      </c>
      <c r="Q247" s="890" t="str">
        <f t="shared" si="265"/>
        <v>A</v>
      </c>
      <c r="R247" s="890" t="str">
        <f t="shared" si="266"/>
        <v>N</v>
      </c>
      <c r="S247" s="890" t="str">
        <f t="shared" si="267"/>
        <v>N</v>
      </c>
      <c r="T247" s="890" t="str">
        <f t="shared" si="268"/>
        <v>N</v>
      </c>
      <c r="U247" s="890" t="str">
        <f t="shared" si="269"/>
        <v>A</v>
      </c>
      <c r="V247" s="890" t="str">
        <f t="shared" si="270"/>
        <v>A</v>
      </c>
      <c r="W247" s="890" t="str">
        <f t="shared" si="270"/>
        <v>A</v>
      </c>
      <c r="X247" s="890" t="str">
        <f t="shared" si="271"/>
        <v>A</v>
      </c>
      <c r="Y247" s="890" t="str">
        <f t="shared" si="272"/>
        <v>N</v>
      </c>
      <c r="Z247" s="890" t="str">
        <f t="shared" si="273"/>
        <v>N</v>
      </c>
      <c r="AA247" s="890" t="str">
        <f t="shared" si="274"/>
        <v>A</v>
      </c>
      <c r="AB247" s="890" t="str">
        <f t="shared" si="275"/>
        <v>A</v>
      </c>
      <c r="AC247" s="890" t="str">
        <f t="shared" si="276"/>
        <v>N</v>
      </c>
      <c r="AD247" s="891"/>
      <c r="AE247" s="884"/>
      <c r="AF247" s="885"/>
      <c r="AG247" s="886"/>
      <c r="AH247" s="887"/>
      <c r="AI247" s="888"/>
      <c r="AK247" s="252"/>
      <c r="AL247" s="254"/>
      <c r="AM247" s="254"/>
      <c r="AN247" s="254"/>
      <c r="AO247" s="254"/>
      <c r="AP247" s="254"/>
      <c r="AQ247" s="254"/>
      <c r="AR247" s="254"/>
      <c r="AS247" s="254"/>
      <c r="AT247" s="254"/>
      <c r="AU247" s="254"/>
      <c r="AV247" s="254"/>
      <c r="AW247" s="254"/>
      <c r="AX247" s="254"/>
      <c r="AY247" s="254"/>
    </row>
    <row r="248" spans="2:51" x14ac:dyDescent="0.3">
      <c r="B248" s="1151"/>
      <c r="C248" s="766" t="s">
        <v>425</v>
      </c>
      <c r="D248" s="892" t="s">
        <v>453</v>
      </c>
      <c r="E248" s="890" t="s">
        <v>453</v>
      </c>
      <c r="F248" s="890" t="str">
        <f t="shared" si="262"/>
        <v>N</v>
      </c>
      <c r="G248" s="890" t="str">
        <f t="shared" si="262"/>
        <v>N</v>
      </c>
      <c r="H248" s="890"/>
      <c r="I248" s="890"/>
      <c r="J248" s="890"/>
      <c r="K248" s="890"/>
      <c r="L248" s="890" t="str">
        <f t="shared" si="263"/>
        <v>N</v>
      </c>
      <c r="M248" s="890" t="s">
        <v>453</v>
      </c>
      <c r="N248" s="890" t="s">
        <v>453</v>
      </c>
      <c r="O248" s="890"/>
      <c r="P248" s="890" t="str">
        <f t="shared" si="264"/>
        <v>N</v>
      </c>
      <c r="Q248" s="890" t="str">
        <f t="shared" si="265"/>
        <v>N</v>
      </c>
      <c r="R248" s="890" t="str">
        <f t="shared" si="266"/>
        <v>N</v>
      </c>
      <c r="S248" s="890" t="str">
        <f t="shared" si="267"/>
        <v>N</v>
      </c>
      <c r="T248" s="890" t="str">
        <f t="shared" si="268"/>
        <v>N</v>
      </c>
      <c r="U248" s="890" t="str">
        <f t="shared" si="269"/>
        <v>N</v>
      </c>
      <c r="V248" s="890" t="str">
        <f t="shared" si="270"/>
        <v>A</v>
      </c>
      <c r="W248" s="890" t="str">
        <f t="shared" si="270"/>
        <v>N</v>
      </c>
      <c r="X248" s="890" t="str">
        <f t="shared" si="271"/>
        <v>N</v>
      </c>
      <c r="Y248" s="890" t="str">
        <f t="shared" si="272"/>
        <v>N</v>
      </c>
      <c r="Z248" s="890" t="str">
        <f t="shared" si="273"/>
        <v>N</v>
      </c>
      <c r="AA248" s="890" t="str">
        <f t="shared" si="274"/>
        <v>A</v>
      </c>
      <c r="AB248" s="890" t="str">
        <f t="shared" si="275"/>
        <v>N</v>
      </c>
      <c r="AC248" s="890" t="str">
        <f t="shared" si="276"/>
        <v>N</v>
      </c>
      <c r="AD248" s="891"/>
      <c r="AE248" s="884"/>
      <c r="AF248" s="885"/>
      <c r="AG248" s="886"/>
      <c r="AH248" s="887"/>
      <c r="AI248" s="888"/>
      <c r="AK248" s="252"/>
      <c r="AL248" s="254"/>
      <c r="AM248" s="254"/>
      <c r="AN248" s="254"/>
      <c r="AO248" s="254"/>
      <c r="AP248" s="254"/>
      <c r="AQ248" s="254"/>
      <c r="AR248" s="254"/>
      <c r="AS248" s="254"/>
      <c r="AT248" s="254"/>
      <c r="AU248" s="254"/>
      <c r="AV248" s="254"/>
      <c r="AW248" s="254"/>
      <c r="AX248" s="254"/>
      <c r="AY248" s="254"/>
    </row>
    <row r="249" spans="2:51" x14ac:dyDescent="0.3">
      <c r="B249" s="1151"/>
      <c r="C249" s="766" t="s">
        <v>427</v>
      </c>
      <c r="D249" s="892" t="s">
        <v>453</v>
      </c>
      <c r="E249" s="890" t="s">
        <v>453</v>
      </c>
      <c r="F249" s="890" t="str">
        <f t="shared" si="262"/>
        <v>A</v>
      </c>
      <c r="G249" s="890" t="str">
        <f t="shared" si="262"/>
        <v>A</v>
      </c>
      <c r="H249" s="890"/>
      <c r="I249" s="890"/>
      <c r="J249" s="890"/>
      <c r="K249" s="890"/>
      <c r="L249" s="890" t="str">
        <f t="shared" si="263"/>
        <v>A</v>
      </c>
      <c r="M249" s="890" t="s">
        <v>453</v>
      </c>
      <c r="N249" s="890" t="s">
        <v>453</v>
      </c>
      <c r="O249" s="890"/>
      <c r="P249" s="890" t="str">
        <f t="shared" si="264"/>
        <v>N</v>
      </c>
      <c r="Q249" s="890" t="str">
        <f t="shared" si="265"/>
        <v>A</v>
      </c>
      <c r="R249" s="890" t="str">
        <f t="shared" si="266"/>
        <v>A</v>
      </c>
      <c r="S249" s="890" t="str">
        <f t="shared" si="267"/>
        <v>A</v>
      </c>
      <c r="T249" s="890" t="str">
        <f t="shared" si="268"/>
        <v>A</v>
      </c>
      <c r="U249" s="890" t="str">
        <f t="shared" si="269"/>
        <v>A</v>
      </c>
      <c r="V249" s="890" t="str">
        <f t="shared" si="270"/>
        <v>A</v>
      </c>
      <c r="W249" s="890" t="str">
        <f t="shared" si="270"/>
        <v>A</v>
      </c>
      <c r="X249" s="890" t="str">
        <f t="shared" si="271"/>
        <v>A</v>
      </c>
      <c r="Y249" s="890" t="str">
        <f t="shared" si="272"/>
        <v>A</v>
      </c>
      <c r="Z249" s="890" t="str">
        <f t="shared" si="273"/>
        <v>A</v>
      </c>
      <c r="AA249" s="890" t="str">
        <f t="shared" si="274"/>
        <v>A</v>
      </c>
      <c r="AB249" s="890" t="str">
        <f t="shared" si="275"/>
        <v>A</v>
      </c>
      <c r="AC249" s="890" t="str">
        <f t="shared" si="276"/>
        <v>A</v>
      </c>
      <c r="AD249" s="891"/>
      <c r="AE249" s="884"/>
      <c r="AF249" s="885"/>
      <c r="AG249" s="886"/>
      <c r="AH249" s="887"/>
      <c r="AI249" s="888"/>
      <c r="AK249" s="252"/>
      <c r="AL249" s="254"/>
      <c r="AM249" s="254"/>
      <c r="AN249" s="254"/>
      <c r="AO249" s="254"/>
      <c r="AP249" s="254"/>
      <c r="AQ249" s="254"/>
      <c r="AR249" s="254"/>
      <c r="AS249" s="254"/>
      <c r="AT249" s="254"/>
      <c r="AU249" s="254"/>
      <c r="AV249" s="254"/>
      <c r="AW249" s="254"/>
      <c r="AX249" s="254"/>
      <c r="AY249" s="254"/>
    </row>
    <row r="250" spans="2:51" x14ac:dyDescent="0.3">
      <c r="B250" s="1151"/>
      <c r="C250" s="766" t="s">
        <v>429</v>
      </c>
      <c r="D250" s="892" t="s">
        <v>453</v>
      </c>
      <c r="E250" s="890" t="s">
        <v>452</v>
      </c>
      <c r="F250" s="890" t="str">
        <f t="shared" si="262"/>
        <v>N</v>
      </c>
      <c r="G250" s="890" t="str">
        <f t="shared" si="262"/>
        <v>N</v>
      </c>
      <c r="H250" s="890"/>
      <c r="I250" s="890"/>
      <c r="J250" s="890"/>
      <c r="K250" s="890"/>
      <c r="L250" s="890" t="str">
        <f t="shared" si="263"/>
        <v>N</v>
      </c>
      <c r="M250" s="890" t="s">
        <v>453</v>
      </c>
      <c r="N250" s="890" t="s">
        <v>453</v>
      </c>
      <c r="O250" s="890"/>
      <c r="P250" s="890" t="str">
        <f t="shared" si="264"/>
        <v>N</v>
      </c>
      <c r="Q250" s="890" t="str">
        <f t="shared" si="265"/>
        <v>N</v>
      </c>
      <c r="R250" s="890" t="str">
        <f t="shared" si="266"/>
        <v>N</v>
      </c>
      <c r="S250" s="890" t="str">
        <f t="shared" si="267"/>
        <v>N</v>
      </c>
      <c r="T250" s="890" t="str">
        <f t="shared" si="268"/>
        <v>N</v>
      </c>
      <c r="U250" s="890" t="str">
        <f t="shared" si="269"/>
        <v>N</v>
      </c>
      <c r="V250" s="890" t="str">
        <f t="shared" si="270"/>
        <v>N</v>
      </c>
      <c r="W250" s="890" t="str">
        <f t="shared" si="270"/>
        <v>N</v>
      </c>
      <c r="X250" s="890" t="str">
        <f t="shared" si="271"/>
        <v>N</v>
      </c>
      <c r="Y250" s="890" t="str">
        <f t="shared" si="272"/>
        <v>N</v>
      </c>
      <c r="Z250" s="890" t="str">
        <f t="shared" si="273"/>
        <v>N</v>
      </c>
      <c r="AA250" s="890" t="str">
        <f t="shared" si="274"/>
        <v>N</v>
      </c>
      <c r="AB250" s="890" t="str">
        <f t="shared" si="275"/>
        <v>N</v>
      </c>
      <c r="AC250" s="890" t="str">
        <f t="shared" si="276"/>
        <v>N</v>
      </c>
      <c r="AD250" s="891"/>
      <c r="AE250" s="884"/>
      <c r="AF250" s="885"/>
      <c r="AG250" s="886"/>
      <c r="AH250" s="887"/>
      <c r="AI250" s="888"/>
      <c r="AK250" s="252"/>
      <c r="AL250" s="254"/>
      <c r="AM250" s="254"/>
      <c r="AN250" s="254"/>
      <c r="AO250" s="254"/>
      <c r="AP250" s="254"/>
      <c r="AQ250" s="254"/>
      <c r="AR250" s="254"/>
      <c r="AS250" s="254"/>
      <c r="AT250" s="254"/>
      <c r="AU250" s="254"/>
      <c r="AV250" s="254"/>
      <c r="AW250" s="254"/>
      <c r="AX250" s="254"/>
      <c r="AY250" s="254"/>
    </row>
    <row r="251" spans="2:51" x14ac:dyDescent="0.3">
      <c r="B251" s="1151"/>
      <c r="C251" s="770" t="s">
        <v>431</v>
      </c>
      <c r="D251" s="892" t="s">
        <v>453</v>
      </c>
      <c r="E251" s="890" t="s">
        <v>453</v>
      </c>
      <c r="F251" s="890" t="str">
        <f t="shared" si="262"/>
        <v>A</v>
      </c>
      <c r="G251" s="890" t="str">
        <f t="shared" si="262"/>
        <v>N</v>
      </c>
      <c r="H251" s="890"/>
      <c r="I251" s="890"/>
      <c r="J251" s="890"/>
      <c r="K251" s="890"/>
      <c r="L251" s="890" t="str">
        <f t="shared" si="263"/>
        <v>A</v>
      </c>
      <c r="M251" s="890" t="s">
        <v>453</v>
      </c>
      <c r="N251" s="890" t="s">
        <v>453</v>
      </c>
      <c r="O251" s="890"/>
      <c r="P251" s="890" t="str">
        <f t="shared" si="264"/>
        <v>N</v>
      </c>
      <c r="Q251" s="890" t="str">
        <f t="shared" si="265"/>
        <v>N</v>
      </c>
      <c r="R251" s="890" t="str">
        <f t="shared" si="266"/>
        <v>A</v>
      </c>
      <c r="S251" s="890" t="str">
        <f t="shared" si="267"/>
        <v>A</v>
      </c>
      <c r="T251" s="890" t="str">
        <f t="shared" si="268"/>
        <v>A</v>
      </c>
      <c r="U251" s="890" t="str">
        <f t="shared" si="269"/>
        <v>N</v>
      </c>
      <c r="V251" s="890" t="str">
        <f t="shared" si="270"/>
        <v>A</v>
      </c>
      <c r="W251" s="890" t="str">
        <f t="shared" si="270"/>
        <v>N</v>
      </c>
      <c r="X251" s="890" t="str">
        <f t="shared" si="271"/>
        <v>N</v>
      </c>
      <c r="Y251" s="890" t="str">
        <f t="shared" si="272"/>
        <v>A</v>
      </c>
      <c r="Z251" s="890" t="str">
        <f t="shared" si="273"/>
        <v>A</v>
      </c>
      <c r="AA251" s="890" t="str">
        <f t="shared" si="274"/>
        <v>A</v>
      </c>
      <c r="AB251" s="890" t="str">
        <f t="shared" si="275"/>
        <v>N</v>
      </c>
      <c r="AC251" s="890" t="str">
        <f t="shared" si="276"/>
        <v>A</v>
      </c>
      <c r="AD251" s="891"/>
      <c r="AE251" s="884"/>
      <c r="AF251" s="885"/>
      <c r="AG251" s="886"/>
      <c r="AH251" s="887"/>
      <c r="AI251" s="888"/>
      <c r="AK251" s="252"/>
      <c r="AL251" s="254"/>
      <c r="AM251" s="254"/>
      <c r="AN251" s="254"/>
      <c r="AO251" s="254"/>
      <c r="AP251" s="254"/>
      <c r="AQ251" s="254"/>
      <c r="AR251" s="254"/>
      <c r="AS251" s="254"/>
      <c r="AT251" s="254"/>
      <c r="AU251" s="254"/>
      <c r="AV251" s="254"/>
      <c r="AW251" s="254"/>
      <c r="AX251" s="254"/>
      <c r="AY251" s="254"/>
    </row>
    <row r="252" spans="2:51" x14ac:dyDescent="0.3">
      <c r="B252" s="893"/>
      <c r="C252" s="894" t="s">
        <v>461</v>
      </c>
      <c r="D252" s="895">
        <v>0</v>
      </c>
      <c r="E252" s="896">
        <v>0.2</v>
      </c>
      <c r="F252" s="897">
        <f t="shared" si="262"/>
        <v>0.2</v>
      </c>
      <c r="G252" s="897">
        <f t="shared" si="262"/>
        <v>0.25</v>
      </c>
      <c r="H252" s="897"/>
      <c r="I252" s="897"/>
      <c r="J252" s="897"/>
      <c r="K252" s="897"/>
      <c r="L252" s="897">
        <f t="shared" si="263"/>
        <v>0.2</v>
      </c>
      <c r="M252" s="897">
        <v>0</v>
      </c>
      <c r="N252" s="897">
        <v>0</v>
      </c>
      <c r="O252" s="897"/>
      <c r="P252" s="897">
        <f t="shared" si="264"/>
        <v>0</v>
      </c>
      <c r="Q252" s="897">
        <f t="shared" si="265"/>
        <v>0.25</v>
      </c>
      <c r="R252" s="897">
        <f t="shared" ref="R252" si="277">R20</f>
        <v>0.2</v>
      </c>
      <c r="S252" s="897">
        <f t="shared" si="267"/>
        <v>0.2</v>
      </c>
      <c r="T252" s="897">
        <f t="shared" si="268"/>
        <v>0.2</v>
      </c>
      <c r="U252" s="897">
        <f t="shared" si="269"/>
        <v>0.25</v>
      </c>
      <c r="V252" s="897">
        <f t="shared" ref="V252:W252" si="278">V20</f>
        <v>0.35</v>
      </c>
      <c r="W252" s="897">
        <f t="shared" si="278"/>
        <v>0.25</v>
      </c>
      <c r="X252" s="897">
        <f t="shared" si="271"/>
        <v>0.25</v>
      </c>
      <c r="Y252" s="897">
        <f t="shared" si="272"/>
        <v>0.2</v>
      </c>
      <c r="Z252" s="897">
        <f t="shared" si="273"/>
        <v>0.2</v>
      </c>
      <c r="AA252" s="897">
        <f t="shared" si="274"/>
        <v>0.35</v>
      </c>
      <c r="AB252" s="897">
        <f t="shared" si="275"/>
        <v>0.25</v>
      </c>
      <c r="AC252" s="897">
        <f t="shared" si="276"/>
        <v>0.2</v>
      </c>
      <c r="AD252" s="898"/>
      <c r="AE252" s="899"/>
      <c r="AF252" s="900"/>
      <c r="AG252" s="901"/>
      <c r="AH252" s="901"/>
      <c r="AI252" s="902"/>
      <c r="AK252" s="252"/>
      <c r="AL252" s="254"/>
      <c r="AM252" s="254"/>
      <c r="AN252" s="254"/>
      <c r="AO252" s="254"/>
      <c r="AP252" s="254"/>
      <c r="AQ252" s="254"/>
      <c r="AR252" s="254"/>
      <c r="AS252" s="254"/>
      <c r="AT252" s="254"/>
      <c r="AU252" s="254"/>
      <c r="AV252" s="254"/>
      <c r="AW252" s="254"/>
      <c r="AX252" s="254"/>
      <c r="AY252" s="254"/>
    </row>
    <row r="253" spans="2:51" ht="42.6" customHeight="1" x14ac:dyDescent="0.3">
      <c r="B253" s="256" t="str">
        <f>'Procesy - AS IS'!B65</f>
        <v>Meranie č. 18</v>
      </c>
      <c r="C253" s="749" t="str">
        <f>'Procesy - AS IS'!$C$65</f>
        <v>František Karkes, Senec, Používanie GT a GMO zámerným uvoľňovaním, 4785/2017</v>
      </c>
      <c r="D253" s="872">
        <f>-'Procesy - AS IS'!D67*D266</f>
        <v>0</v>
      </c>
      <c r="E253" s="752">
        <f>-'Procesy - AS IS'!E67*E266</f>
        <v>-1.6</v>
      </c>
      <c r="F253" s="752">
        <f>-'Procesy - AS IS'!F67*F266</f>
        <v>-1.6</v>
      </c>
      <c r="G253" s="752">
        <f>-'Procesy - AS IS'!G67*G266</f>
        <v>-1</v>
      </c>
      <c r="H253" s="752" t="s">
        <v>523</v>
      </c>
      <c r="I253" s="752" t="s">
        <v>523</v>
      </c>
      <c r="J253" s="752" t="s">
        <v>523</v>
      </c>
      <c r="K253" s="752" t="s">
        <v>523</v>
      </c>
      <c r="L253" s="752">
        <f>-'Procesy - AS IS'!L67*L266</f>
        <v>-0.8</v>
      </c>
      <c r="M253" s="752">
        <f>-'Procesy - AS IS'!M67*M266</f>
        <v>0</v>
      </c>
      <c r="N253" s="752" t="s">
        <v>525</v>
      </c>
      <c r="O253" s="752" t="s">
        <v>524</v>
      </c>
      <c r="P253" s="752">
        <f>-'Procesy - AS IS'!P67*P266</f>
        <v>0</v>
      </c>
      <c r="Q253" s="752">
        <f>-'Procesy - AS IS'!Q67*Q266</f>
        <v>0</v>
      </c>
      <c r="R253" s="752">
        <f>-'Procesy - AS IS'!R67*R266</f>
        <v>-0.44912280701754387</v>
      </c>
      <c r="S253" s="752">
        <f>-'Procesy - AS IS'!S67*S266</f>
        <v>-0.68771929824561406</v>
      </c>
      <c r="T253" s="752">
        <f>-'Procesy - AS IS'!T67*T266</f>
        <v>-0.22456140350877193</v>
      </c>
      <c r="U253" s="752">
        <f>-'Procesy - AS IS'!U67*U266</f>
        <v>-0.85964912280701755</v>
      </c>
      <c r="V253" s="752">
        <f>-'Procesy - AS IS'!V67*V266</f>
        <v>-1.4</v>
      </c>
      <c r="W253" s="752">
        <f>-'Procesy - AS IS'!W67*W266</f>
        <v>0</v>
      </c>
      <c r="X253" s="752">
        <f>-'Procesy - AS IS'!X67*X266</f>
        <v>0</v>
      </c>
      <c r="Y253" s="752">
        <f>-'Procesy - AS IS'!Y67*Y266</f>
        <v>0</v>
      </c>
      <c r="Z253" s="752">
        <f>-'Procesy - AS IS'!Z67*Z266</f>
        <v>0</v>
      </c>
      <c r="AA253" s="752">
        <f>-'Procesy - AS IS'!AA67*AA266</f>
        <v>0</v>
      </c>
      <c r="AB253" s="752">
        <f>-'Procesy - AS IS'!AB67*AB266</f>
        <v>0</v>
      </c>
      <c r="AC253" s="752">
        <f>-'Procesy - AS IS'!AC67*AC266</f>
        <v>0</v>
      </c>
      <c r="AD253" s="903">
        <f>SUM(D253:AC253)</f>
        <v>-8.621052631578948</v>
      </c>
      <c r="AE253" s="880">
        <f>AD253/'Procesy - AS IS'!AD67</f>
        <v>-0.20901743938749473</v>
      </c>
      <c r="AF253" s="881">
        <f>'Procesy - AS IS'!AG67/(1+$AE253)-'Procesy - AS IS'!AG67</f>
        <v>30.124542912454302</v>
      </c>
      <c r="AG253" s="882">
        <f>'Procesy - AS IS'!AH67/(1+$AE253)-'Procesy - AS IS'!AH67</f>
        <v>4.2280060228006029</v>
      </c>
      <c r="AH253" s="877">
        <f>'Procesy - AS IS'!AI67/(1+$AE253)-'Procesy - AS IS'!AI67</f>
        <v>0</v>
      </c>
      <c r="AI253" s="878">
        <f>'Procesy - AS IS'!AJ67/(1+$AE253)-'Procesy - AS IS'!AJ67</f>
        <v>0</v>
      </c>
      <c r="AK253" s="252"/>
      <c r="AL253" s="254"/>
      <c r="AM253" s="254"/>
      <c r="AN253" s="254"/>
      <c r="AO253" s="254"/>
      <c r="AP253" s="254"/>
      <c r="AQ253" s="254"/>
      <c r="AR253" s="254"/>
      <c r="AS253" s="254"/>
      <c r="AT253" s="254"/>
      <c r="AU253" s="254"/>
      <c r="AV253" s="254"/>
      <c r="AW253" s="254"/>
      <c r="AX253" s="254"/>
      <c r="AY253" s="254"/>
    </row>
    <row r="254" spans="2:51" x14ac:dyDescent="0.3">
      <c r="B254" s="1150" t="s">
        <v>451</v>
      </c>
      <c r="C254" s="766" t="s">
        <v>409</v>
      </c>
      <c r="D254" s="771" t="s">
        <v>453</v>
      </c>
      <c r="E254" s="772" t="str">
        <f t="shared" ref="E254:G266" si="279">E240</f>
        <v>A</v>
      </c>
      <c r="F254" s="890" t="str">
        <f t="shared" si="279"/>
        <v>A</v>
      </c>
      <c r="G254" s="890" t="str">
        <f t="shared" si="279"/>
        <v>A</v>
      </c>
      <c r="H254" s="890"/>
      <c r="I254" s="890"/>
      <c r="J254" s="890"/>
      <c r="K254" s="890"/>
      <c r="L254" s="890" t="str">
        <f t="shared" ref="L254:N266" si="280">L240</f>
        <v>A</v>
      </c>
      <c r="M254" s="890" t="str">
        <f t="shared" si="280"/>
        <v>N</v>
      </c>
      <c r="N254" s="890" t="str">
        <f t="shared" si="280"/>
        <v>N</v>
      </c>
      <c r="O254" s="890"/>
      <c r="P254" s="890" t="str">
        <f t="shared" ref="P254:R266" si="281">P240</f>
        <v>N</v>
      </c>
      <c r="Q254" s="890" t="str">
        <f t="shared" si="281"/>
        <v>A</v>
      </c>
      <c r="R254" s="890" t="str">
        <f t="shared" si="281"/>
        <v>A</v>
      </c>
      <c r="S254" s="890" t="str">
        <f t="shared" ref="S254:S266" si="282">R254</f>
        <v>A</v>
      </c>
      <c r="T254" s="890" t="str">
        <f t="shared" ref="T254:T266" si="283">R254</f>
        <v>A</v>
      </c>
      <c r="U254" s="890" t="str">
        <f t="shared" ref="U254:U266" si="284">G254</f>
        <v>A</v>
      </c>
      <c r="V254" s="890" t="str">
        <f t="shared" ref="V254:V266" si="285">V240</f>
        <v>A</v>
      </c>
      <c r="W254" s="890" t="str">
        <f t="shared" ref="W254:W265" si="286">W7</f>
        <v>A</v>
      </c>
      <c r="X254" s="890" t="str">
        <f t="shared" ref="X254:X266" si="287">G254</f>
        <v>A</v>
      </c>
      <c r="Y254" s="890" t="str">
        <f t="shared" ref="Y254:Y266" si="288">R254</f>
        <v>A</v>
      </c>
      <c r="Z254" s="890" t="str">
        <f t="shared" ref="Z254:Z266" si="289">R254</f>
        <v>A</v>
      </c>
      <c r="AA254" s="890" t="str">
        <f t="shared" ref="AA254:AA266" si="290">$V254</f>
        <v>A</v>
      </c>
      <c r="AB254" s="890" t="str">
        <f t="shared" ref="AB254:AB266" si="291">G254</f>
        <v>A</v>
      </c>
      <c r="AC254" s="890" t="str">
        <f t="shared" ref="AC254:AC266" si="292">R254</f>
        <v>A</v>
      </c>
      <c r="AD254" s="891"/>
      <c r="AE254" s="884"/>
      <c r="AF254" s="885"/>
      <c r="AG254" s="886"/>
      <c r="AH254" s="887"/>
      <c r="AI254" s="888"/>
      <c r="AK254" s="252"/>
      <c r="AL254" s="254"/>
      <c r="AM254" s="254"/>
      <c r="AN254" s="254"/>
      <c r="AO254" s="254"/>
      <c r="AP254" s="254"/>
      <c r="AQ254" s="254"/>
      <c r="AR254" s="254"/>
      <c r="AS254" s="254"/>
      <c r="AT254" s="254"/>
      <c r="AU254" s="254"/>
      <c r="AV254" s="254"/>
      <c r="AW254" s="254"/>
      <c r="AX254" s="254"/>
      <c r="AY254" s="254"/>
    </row>
    <row r="255" spans="2:51" x14ac:dyDescent="0.3">
      <c r="B255" s="1151"/>
      <c r="C255" s="766" t="s">
        <v>411</v>
      </c>
      <c r="D255" s="889" t="s">
        <v>453</v>
      </c>
      <c r="E255" s="890" t="str">
        <f t="shared" si="279"/>
        <v>N</v>
      </c>
      <c r="F255" s="890" t="str">
        <f t="shared" si="279"/>
        <v>N</v>
      </c>
      <c r="G255" s="890" t="str">
        <f t="shared" si="279"/>
        <v>N</v>
      </c>
      <c r="H255" s="890"/>
      <c r="I255" s="890"/>
      <c r="J255" s="890"/>
      <c r="K255" s="890"/>
      <c r="L255" s="890" t="str">
        <f t="shared" si="280"/>
        <v>N</v>
      </c>
      <c r="M255" s="890" t="str">
        <f t="shared" si="280"/>
        <v>N</v>
      </c>
      <c r="N255" s="890" t="str">
        <f t="shared" si="280"/>
        <v>N</v>
      </c>
      <c r="O255" s="890"/>
      <c r="P255" s="890" t="str">
        <f t="shared" si="281"/>
        <v>N</v>
      </c>
      <c r="Q255" s="890" t="str">
        <f t="shared" si="281"/>
        <v>N</v>
      </c>
      <c r="R255" s="890" t="str">
        <f t="shared" si="281"/>
        <v>N</v>
      </c>
      <c r="S255" s="890" t="str">
        <f t="shared" si="282"/>
        <v>N</v>
      </c>
      <c r="T255" s="890" t="str">
        <f t="shared" si="283"/>
        <v>N</v>
      </c>
      <c r="U255" s="890" t="str">
        <f t="shared" si="284"/>
        <v>N</v>
      </c>
      <c r="V255" s="890" t="str">
        <f t="shared" si="285"/>
        <v>N</v>
      </c>
      <c r="W255" s="890" t="str">
        <f t="shared" si="286"/>
        <v>N</v>
      </c>
      <c r="X255" s="890" t="str">
        <f t="shared" si="287"/>
        <v>N</v>
      </c>
      <c r="Y255" s="890" t="str">
        <f t="shared" si="288"/>
        <v>N</v>
      </c>
      <c r="Z255" s="890" t="str">
        <f t="shared" si="289"/>
        <v>N</v>
      </c>
      <c r="AA255" s="890" t="str">
        <f t="shared" si="290"/>
        <v>N</v>
      </c>
      <c r="AB255" s="890" t="str">
        <f t="shared" si="291"/>
        <v>N</v>
      </c>
      <c r="AC255" s="890" t="str">
        <f t="shared" si="292"/>
        <v>N</v>
      </c>
      <c r="AD255" s="891"/>
      <c r="AE255" s="884"/>
      <c r="AF255" s="885"/>
      <c r="AG255" s="886"/>
      <c r="AH255" s="887"/>
      <c r="AI255" s="888"/>
      <c r="AK255" s="252"/>
      <c r="AL255" s="254"/>
      <c r="AM255" s="254"/>
      <c r="AN255" s="254"/>
      <c r="AO255" s="254"/>
      <c r="AP255" s="254"/>
      <c r="AQ255" s="254"/>
      <c r="AR255" s="254"/>
      <c r="AS255" s="254"/>
      <c r="AT255" s="254"/>
      <c r="AU255" s="254"/>
      <c r="AV255" s="254"/>
      <c r="AW255" s="254"/>
      <c r="AX255" s="254"/>
      <c r="AY255" s="254"/>
    </row>
    <row r="256" spans="2:51" x14ac:dyDescent="0.3">
      <c r="B256" s="1151"/>
      <c r="C256" s="766" t="s">
        <v>413</v>
      </c>
      <c r="D256" s="889" t="s">
        <v>453</v>
      </c>
      <c r="E256" s="890" t="str">
        <f t="shared" si="279"/>
        <v>N</v>
      </c>
      <c r="F256" s="890" t="str">
        <f t="shared" si="279"/>
        <v>N</v>
      </c>
      <c r="G256" s="890" t="str">
        <f t="shared" si="279"/>
        <v>N</v>
      </c>
      <c r="H256" s="890"/>
      <c r="I256" s="890"/>
      <c r="J256" s="890"/>
      <c r="K256" s="890"/>
      <c r="L256" s="890" t="str">
        <f t="shared" si="280"/>
        <v>N</v>
      </c>
      <c r="M256" s="890" t="str">
        <f t="shared" si="280"/>
        <v>N</v>
      </c>
      <c r="N256" s="890" t="str">
        <f t="shared" si="280"/>
        <v>N</v>
      </c>
      <c r="O256" s="890"/>
      <c r="P256" s="890" t="str">
        <f t="shared" si="281"/>
        <v>N</v>
      </c>
      <c r="Q256" s="890" t="str">
        <f t="shared" si="281"/>
        <v>N</v>
      </c>
      <c r="R256" s="890" t="str">
        <f t="shared" si="281"/>
        <v>N</v>
      </c>
      <c r="S256" s="890" t="str">
        <f t="shared" si="282"/>
        <v>N</v>
      </c>
      <c r="T256" s="890" t="str">
        <f t="shared" si="283"/>
        <v>N</v>
      </c>
      <c r="U256" s="890" t="str">
        <f t="shared" si="284"/>
        <v>N</v>
      </c>
      <c r="V256" s="890" t="str">
        <f t="shared" si="285"/>
        <v>N</v>
      </c>
      <c r="W256" s="890" t="str">
        <f t="shared" si="286"/>
        <v>N</v>
      </c>
      <c r="X256" s="890" t="str">
        <f t="shared" si="287"/>
        <v>N</v>
      </c>
      <c r="Y256" s="890" t="str">
        <f t="shared" si="288"/>
        <v>N</v>
      </c>
      <c r="Z256" s="890" t="str">
        <f t="shared" si="289"/>
        <v>N</v>
      </c>
      <c r="AA256" s="890" t="str">
        <f t="shared" si="290"/>
        <v>N</v>
      </c>
      <c r="AB256" s="890" t="str">
        <f t="shared" si="291"/>
        <v>N</v>
      </c>
      <c r="AC256" s="890" t="str">
        <f t="shared" si="292"/>
        <v>N</v>
      </c>
      <c r="AD256" s="891"/>
      <c r="AE256" s="884"/>
      <c r="AF256" s="885"/>
      <c r="AG256" s="886"/>
      <c r="AH256" s="887"/>
      <c r="AI256" s="888"/>
      <c r="AK256" s="252"/>
      <c r="AL256" s="254"/>
      <c r="AM256" s="254"/>
      <c r="AN256" s="254"/>
      <c r="AO256" s="254"/>
      <c r="AP256" s="254"/>
      <c r="AQ256" s="254"/>
      <c r="AR256" s="254"/>
      <c r="AS256" s="254"/>
      <c r="AT256" s="254"/>
      <c r="AU256" s="254"/>
      <c r="AV256" s="254"/>
      <c r="AW256" s="254"/>
      <c r="AX256" s="254"/>
      <c r="AY256" s="254"/>
    </row>
    <row r="257" spans="2:51" x14ac:dyDescent="0.3">
      <c r="B257" s="1151"/>
      <c r="C257" s="766" t="s">
        <v>415</v>
      </c>
      <c r="D257" s="892" t="s">
        <v>453</v>
      </c>
      <c r="E257" s="890" t="str">
        <f t="shared" si="279"/>
        <v>N</v>
      </c>
      <c r="F257" s="890" t="str">
        <f t="shared" si="279"/>
        <v>N</v>
      </c>
      <c r="G257" s="890" t="str">
        <f t="shared" si="279"/>
        <v>N</v>
      </c>
      <c r="H257" s="890"/>
      <c r="I257" s="890"/>
      <c r="J257" s="890"/>
      <c r="K257" s="890"/>
      <c r="L257" s="890" t="str">
        <f t="shared" si="280"/>
        <v>N</v>
      </c>
      <c r="M257" s="890" t="str">
        <f t="shared" si="280"/>
        <v>N</v>
      </c>
      <c r="N257" s="890" t="str">
        <f t="shared" si="280"/>
        <v>N</v>
      </c>
      <c r="O257" s="890"/>
      <c r="P257" s="890" t="str">
        <f t="shared" si="281"/>
        <v>N</v>
      </c>
      <c r="Q257" s="890" t="str">
        <f t="shared" si="281"/>
        <v>N</v>
      </c>
      <c r="R257" s="890" t="str">
        <f t="shared" si="281"/>
        <v>N</v>
      </c>
      <c r="S257" s="890" t="str">
        <f t="shared" si="282"/>
        <v>N</v>
      </c>
      <c r="T257" s="890" t="str">
        <f t="shared" si="283"/>
        <v>N</v>
      </c>
      <c r="U257" s="890" t="str">
        <f t="shared" si="284"/>
        <v>N</v>
      </c>
      <c r="V257" s="890" t="str">
        <f t="shared" si="285"/>
        <v>N</v>
      </c>
      <c r="W257" s="890" t="str">
        <f t="shared" si="286"/>
        <v>N</v>
      </c>
      <c r="X257" s="890" t="str">
        <f t="shared" si="287"/>
        <v>N</v>
      </c>
      <c r="Y257" s="890" t="str">
        <f t="shared" si="288"/>
        <v>N</v>
      </c>
      <c r="Z257" s="890" t="str">
        <f t="shared" si="289"/>
        <v>N</v>
      </c>
      <c r="AA257" s="890" t="str">
        <f t="shared" si="290"/>
        <v>N</v>
      </c>
      <c r="AB257" s="890" t="str">
        <f t="shared" si="291"/>
        <v>N</v>
      </c>
      <c r="AC257" s="890" t="str">
        <f t="shared" si="292"/>
        <v>N</v>
      </c>
      <c r="AD257" s="891"/>
      <c r="AE257" s="884"/>
      <c r="AF257" s="885"/>
      <c r="AG257" s="886"/>
      <c r="AH257" s="887"/>
      <c r="AI257" s="888"/>
      <c r="AK257" s="252"/>
      <c r="AL257" s="254"/>
      <c r="AM257" s="254"/>
      <c r="AN257" s="254"/>
      <c r="AO257" s="254"/>
      <c r="AP257" s="254"/>
      <c r="AQ257" s="254"/>
      <c r="AR257" s="254"/>
      <c r="AS257" s="254"/>
      <c r="AT257" s="254"/>
      <c r="AU257" s="254"/>
      <c r="AV257" s="254"/>
      <c r="AW257" s="254"/>
      <c r="AX257" s="254"/>
      <c r="AY257" s="254"/>
    </row>
    <row r="258" spans="2:51" x14ac:dyDescent="0.3">
      <c r="B258" s="1151"/>
      <c r="C258" s="766" t="s">
        <v>417</v>
      </c>
      <c r="D258" s="892" t="s">
        <v>453</v>
      </c>
      <c r="E258" s="890" t="str">
        <f t="shared" si="279"/>
        <v>A</v>
      </c>
      <c r="F258" s="890" t="str">
        <f t="shared" si="279"/>
        <v>A</v>
      </c>
      <c r="G258" s="890" t="str">
        <f t="shared" si="279"/>
        <v>A</v>
      </c>
      <c r="H258" s="890"/>
      <c r="I258" s="890"/>
      <c r="J258" s="890"/>
      <c r="K258" s="890"/>
      <c r="L258" s="890" t="str">
        <f t="shared" si="280"/>
        <v>A</v>
      </c>
      <c r="M258" s="890" t="str">
        <f t="shared" si="280"/>
        <v>N</v>
      </c>
      <c r="N258" s="890" t="str">
        <f t="shared" si="280"/>
        <v>N</v>
      </c>
      <c r="O258" s="890"/>
      <c r="P258" s="890" t="str">
        <f t="shared" si="281"/>
        <v>N</v>
      </c>
      <c r="Q258" s="890" t="str">
        <f t="shared" si="281"/>
        <v>A</v>
      </c>
      <c r="R258" s="890" t="str">
        <f t="shared" si="281"/>
        <v>A</v>
      </c>
      <c r="S258" s="890" t="str">
        <f t="shared" si="282"/>
        <v>A</v>
      </c>
      <c r="T258" s="890" t="str">
        <f t="shared" si="283"/>
        <v>A</v>
      </c>
      <c r="U258" s="890" t="str">
        <f t="shared" si="284"/>
        <v>A</v>
      </c>
      <c r="V258" s="890" t="str">
        <f t="shared" si="285"/>
        <v>A</v>
      </c>
      <c r="W258" s="890" t="str">
        <f t="shared" si="286"/>
        <v>A</v>
      </c>
      <c r="X258" s="890" t="str">
        <f t="shared" si="287"/>
        <v>A</v>
      </c>
      <c r="Y258" s="890" t="str">
        <f t="shared" si="288"/>
        <v>A</v>
      </c>
      <c r="Z258" s="890" t="str">
        <f t="shared" si="289"/>
        <v>A</v>
      </c>
      <c r="AA258" s="890" t="str">
        <f t="shared" si="290"/>
        <v>A</v>
      </c>
      <c r="AB258" s="890" t="str">
        <f t="shared" si="291"/>
        <v>A</v>
      </c>
      <c r="AC258" s="890" t="str">
        <f t="shared" si="292"/>
        <v>A</v>
      </c>
      <c r="AD258" s="891"/>
      <c r="AE258" s="884"/>
      <c r="AF258" s="885"/>
      <c r="AG258" s="886"/>
      <c r="AH258" s="887"/>
      <c r="AI258" s="888"/>
      <c r="AK258" s="252"/>
      <c r="AL258" s="254"/>
      <c r="AM258" s="254"/>
      <c r="AN258" s="254"/>
      <c r="AO258" s="254"/>
      <c r="AP258" s="254"/>
      <c r="AQ258" s="254"/>
      <c r="AR258" s="254"/>
      <c r="AS258" s="254"/>
      <c r="AT258" s="254"/>
      <c r="AU258" s="254"/>
      <c r="AV258" s="254"/>
      <c r="AW258" s="254"/>
      <c r="AX258" s="254"/>
      <c r="AY258" s="254"/>
    </row>
    <row r="259" spans="2:51" x14ac:dyDescent="0.3">
      <c r="B259" s="1151"/>
      <c r="C259" s="766" t="s">
        <v>419</v>
      </c>
      <c r="D259" s="892" t="s">
        <v>453</v>
      </c>
      <c r="E259" s="890" t="str">
        <f t="shared" si="279"/>
        <v>A</v>
      </c>
      <c r="F259" s="890" t="str">
        <f t="shared" si="279"/>
        <v>A</v>
      </c>
      <c r="G259" s="890" t="str">
        <f t="shared" si="279"/>
        <v>A</v>
      </c>
      <c r="H259" s="890"/>
      <c r="I259" s="890"/>
      <c r="J259" s="890"/>
      <c r="K259" s="890"/>
      <c r="L259" s="890" t="str">
        <f t="shared" si="280"/>
        <v>A</v>
      </c>
      <c r="M259" s="890" t="str">
        <f t="shared" si="280"/>
        <v>N</v>
      </c>
      <c r="N259" s="890" t="str">
        <f t="shared" si="280"/>
        <v>N</v>
      </c>
      <c r="O259" s="890"/>
      <c r="P259" s="890" t="str">
        <f t="shared" si="281"/>
        <v>N</v>
      </c>
      <c r="Q259" s="890" t="str">
        <f t="shared" si="281"/>
        <v>A</v>
      </c>
      <c r="R259" s="890" t="str">
        <f t="shared" si="281"/>
        <v>A</v>
      </c>
      <c r="S259" s="890" t="str">
        <f t="shared" si="282"/>
        <v>A</v>
      </c>
      <c r="T259" s="890" t="str">
        <f t="shared" si="283"/>
        <v>A</v>
      </c>
      <c r="U259" s="890" t="str">
        <f t="shared" si="284"/>
        <v>A</v>
      </c>
      <c r="V259" s="890" t="str">
        <f t="shared" si="285"/>
        <v>A</v>
      </c>
      <c r="W259" s="890" t="str">
        <f t="shared" si="286"/>
        <v>A</v>
      </c>
      <c r="X259" s="890" t="str">
        <f t="shared" si="287"/>
        <v>A</v>
      </c>
      <c r="Y259" s="890" t="str">
        <f t="shared" si="288"/>
        <v>A</v>
      </c>
      <c r="Z259" s="890" t="str">
        <f t="shared" si="289"/>
        <v>A</v>
      </c>
      <c r="AA259" s="890" t="str">
        <f t="shared" si="290"/>
        <v>A</v>
      </c>
      <c r="AB259" s="890" t="str">
        <f t="shared" si="291"/>
        <v>A</v>
      </c>
      <c r="AC259" s="890" t="str">
        <f t="shared" si="292"/>
        <v>A</v>
      </c>
      <c r="AD259" s="891"/>
      <c r="AE259" s="884"/>
      <c r="AF259" s="885"/>
      <c r="AG259" s="886"/>
      <c r="AH259" s="887"/>
      <c r="AI259" s="888"/>
      <c r="AK259" s="252"/>
      <c r="AL259" s="254"/>
      <c r="AM259" s="254"/>
      <c r="AN259" s="254"/>
      <c r="AO259" s="254"/>
      <c r="AP259" s="254"/>
      <c r="AQ259" s="254"/>
      <c r="AR259" s="254"/>
      <c r="AS259" s="254"/>
      <c r="AT259" s="254"/>
      <c r="AU259" s="254"/>
      <c r="AV259" s="254"/>
      <c r="AW259" s="254"/>
      <c r="AX259" s="254"/>
      <c r="AY259" s="254"/>
    </row>
    <row r="260" spans="2:51" x14ac:dyDescent="0.3">
      <c r="B260" s="1151"/>
      <c r="C260" s="766" t="s">
        <v>421</v>
      </c>
      <c r="D260" s="892" t="s">
        <v>453</v>
      </c>
      <c r="E260" s="890" t="str">
        <f t="shared" si="279"/>
        <v>N</v>
      </c>
      <c r="F260" s="890" t="str">
        <f t="shared" si="279"/>
        <v>N</v>
      </c>
      <c r="G260" s="890" t="str">
        <f t="shared" si="279"/>
        <v>A</v>
      </c>
      <c r="H260" s="890"/>
      <c r="I260" s="890"/>
      <c r="J260" s="890"/>
      <c r="K260" s="890"/>
      <c r="L260" s="890" t="str">
        <f t="shared" si="280"/>
        <v>N</v>
      </c>
      <c r="M260" s="890" t="str">
        <f t="shared" si="280"/>
        <v>N</v>
      </c>
      <c r="N260" s="890" t="str">
        <f t="shared" si="280"/>
        <v>N</v>
      </c>
      <c r="O260" s="890"/>
      <c r="P260" s="890" t="str">
        <f t="shared" si="281"/>
        <v>N</v>
      </c>
      <c r="Q260" s="890" t="str">
        <f t="shared" si="281"/>
        <v>A</v>
      </c>
      <c r="R260" s="890" t="str">
        <f t="shared" si="281"/>
        <v>N</v>
      </c>
      <c r="S260" s="890" t="str">
        <f t="shared" si="282"/>
        <v>N</v>
      </c>
      <c r="T260" s="890" t="str">
        <f t="shared" si="283"/>
        <v>N</v>
      </c>
      <c r="U260" s="890" t="str">
        <f t="shared" si="284"/>
        <v>A</v>
      </c>
      <c r="V260" s="890" t="str">
        <f t="shared" si="285"/>
        <v>A</v>
      </c>
      <c r="W260" s="890" t="str">
        <f t="shared" si="286"/>
        <v>A</v>
      </c>
      <c r="X260" s="890" t="str">
        <f t="shared" si="287"/>
        <v>A</v>
      </c>
      <c r="Y260" s="890" t="str">
        <f t="shared" si="288"/>
        <v>N</v>
      </c>
      <c r="Z260" s="890" t="str">
        <f t="shared" si="289"/>
        <v>N</v>
      </c>
      <c r="AA260" s="890" t="str">
        <f t="shared" si="290"/>
        <v>A</v>
      </c>
      <c r="AB260" s="890" t="str">
        <f t="shared" si="291"/>
        <v>A</v>
      </c>
      <c r="AC260" s="890" t="str">
        <f t="shared" si="292"/>
        <v>N</v>
      </c>
      <c r="AD260" s="891"/>
      <c r="AE260" s="884"/>
      <c r="AF260" s="885"/>
      <c r="AG260" s="886"/>
      <c r="AH260" s="887"/>
      <c r="AI260" s="888"/>
      <c r="AK260" s="252"/>
      <c r="AL260" s="254"/>
      <c r="AM260" s="254"/>
      <c r="AN260" s="254"/>
      <c r="AO260" s="254"/>
      <c r="AP260" s="254"/>
      <c r="AQ260" s="254"/>
      <c r="AR260" s="254"/>
      <c r="AS260" s="254"/>
      <c r="AT260" s="254"/>
      <c r="AU260" s="254"/>
      <c r="AV260" s="254"/>
      <c r="AW260" s="254"/>
      <c r="AX260" s="254"/>
      <c r="AY260" s="254"/>
    </row>
    <row r="261" spans="2:51" x14ac:dyDescent="0.3">
      <c r="B261" s="1151"/>
      <c r="C261" s="766" t="s">
        <v>423</v>
      </c>
      <c r="D261" s="892" t="s">
        <v>453</v>
      </c>
      <c r="E261" s="890" t="str">
        <f t="shared" si="279"/>
        <v>A</v>
      </c>
      <c r="F261" s="890" t="str">
        <f t="shared" si="279"/>
        <v>N</v>
      </c>
      <c r="G261" s="890" t="str">
        <f t="shared" si="279"/>
        <v>A</v>
      </c>
      <c r="H261" s="890"/>
      <c r="I261" s="890"/>
      <c r="J261" s="890"/>
      <c r="K261" s="890"/>
      <c r="L261" s="890" t="str">
        <f t="shared" si="280"/>
        <v>N</v>
      </c>
      <c r="M261" s="890" t="str">
        <f t="shared" si="280"/>
        <v>N</v>
      </c>
      <c r="N261" s="890" t="str">
        <f t="shared" si="280"/>
        <v>N</v>
      </c>
      <c r="O261" s="890"/>
      <c r="P261" s="890" t="str">
        <f t="shared" si="281"/>
        <v>N</v>
      </c>
      <c r="Q261" s="890" t="str">
        <f t="shared" si="281"/>
        <v>A</v>
      </c>
      <c r="R261" s="890" t="str">
        <f t="shared" si="281"/>
        <v>N</v>
      </c>
      <c r="S261" s="890" t="str">
        <f t="shared" si="282"/>
        <v>N</v>
      </c>
      <c r="T261" s="890" t="str">
        <f t="shared" si="283"/>
        <v>N</v>
      </c>
      <c r="U261" s="890" t="str">
        <f t="shared" si="284"/>
        <v>A</v>
      </c>
      <c r="V261" s="890" t="str">
        <f t="shared" si="285"/>
        <v>A</v>
      </c>
      <c r="W261" s="890" t="str">
        <f t="shared" si="286"/>
        <v>A</v>
      </c>
      <c r="X261" s="890" t="str">
        <f t="shared" si="287"/>
        <v>A</v>
      </c>
      <c r="Y261" s="890" t="str">
        <f t="shared" si="288"/>
        <v>N</v>
      </c>
      <c r="Z261" s="890" t="str">
        <f t="shared" si="289"/>
        <v>N</v>
      </c>
      <c r="AA261" s="890" t="str">
        <f t="shared" si="290"/>
        <v>A</v>
      </c>
      <c r="AB261" s="890" t="str">
        <f t="shared" si="291"/>
        <v>A</v>
      </c>
      <c r="AC261" s="890" t="str">
        <f t="shared" si="292"/>
        <v>N</v>
      </c>
      <c r="AD261" s="891"/>
      <c r="AE261" s="884"/>
      <c r="AF261" s="885"/>
      <c r="AG261" s="886"/>
      <c r="AH261" s="887"/>
      <c r="AI261" s="888"/>
      <c r="AK261" s="252"/>
      <c r="AL261" s="254"/>
      <c r="AM261" s="254"/>
      <c r="AN261" s="254"/>
      <c r="AO261" s="254"/>
      <c r="AP261" s="254"/>
      <c r="AQ261" s="254"/>
      <c r="AR261" s="254"/>
      <c r="AS261" s="254"/>
      <c r="AT261" s="254"/>
      <c r="AU261" s="254"/>
      <c r="AV261" s="254"/>
      <c r="AW261" s="254"/>
      <c r="AX261" s="254"/>
      <c r="AY261" s="254"/>
    </row>
    <row r="262" spans="2:51" x14ac:dyDescent="0.3">
      <c r="B262" s="1151"/>
      <c r="C262" s="766" t="s">
        <v>425</v>
      </c>
      <c r="D262" s="892" t="s">
        <v>453</v>
      </c>
      <c r="E262" s="890" t="str">
        <f t="shared" si="279"/>
        <v>N</v>
      </c>
      <c r="F262" s="890" t="str">
        <f t="shared" si="279"/>
        <v>N</v>
      </c>
      <c r="G262" s="890" t="str">
        <f t="shared" si="279"/>
        <v>N</v>
      </c>
      <c r="H262" s="890"/>
      <c r="I262" s="890"/>
      <c r="J262" s="890"/>
      <c r="K262" s="890"/>
      <c r="L262" s="890" t="str">
        <f t="shared" si="280"/>
        <v>N</v>
      </c>
      <c r="M262" s="890" t="str">
        <f t="shared" si="280"/>
        <v>N</v>
      </c>
      <c r="N262" s="890" t="str">
        <f t="shared" si="280"/>
        <v>N</v>
      </c>
      <c r="O262" s="890"/>
      <c r="P262" s="890" t="str">
        <f t="shared" si="281"/>
        <v>N</v>
      </c>
      <c r="Q262" s="890" t="str">
        <f t="shared" si="281"/>
        <v>N</v>
      </c>
      <c r="R262" s="890" t="str">
        <f t="shared" si="281"/>
        <v>N</v>
      </c>
      <c r="S262" s="890" t="str">
        <f t="shared" si="282"/>
        <v>N</v>
      </c>
      <c r="T262" s="890" t="str">
        <f t="shared" si="283"/>
        <v>N</v>
      </c>
      <c r="U262" s="890" t="str">
        <f t="shared" si="284"/>
        <v>N</v>
      </c>
      <c r="V262" s="890" t="str">
        <f t="shared" si="285"/>
        <v>A</v>
      </c>
      <c r="W262" s="890" t="str">
        <f t="shared" si="286"/>
        <v>N</v>
      </c>
      <c r="X262" s="890" t="str">
        <f t="shared" si="287"/>
        <v>N</v>
      </c>
      <c r="Y262" s="890" t="str">
        <f t="shared" si="288"/>
        <v>N</v>
      </c>
      <c r="Z262" s="890" t="str">
        <f t="shared" si="289"/>
        <v>N</v>
      </c>
      <c r="AA262" s="890" t="str">
        <f t="shared" si="290"/>
        <v>A</v>
      </c>
      <c r="AB262" s="890" t="str">
        <f t="shared" si="291"/>
        <v>N</v>
      </c>
      <c r="AC262" s="890" t="str">
        <f t="shared" si="292"/>
        <v>N</v>
      </c>
      <c r="AD262" s="891"/>
      <c r="AE262" s="884"/>
      <c r="AF262" s="885"/>
      <c r="AG262" s="886"/>
      <c r="AH262" s="887"/>
      <c r="AI262" s="888"/>
      <c r="AK262" s="252"/>
      <c r="AL262" s="254"/>
      <c r="AM262" s="254"/>
      <c r="AN262" s="254"/>
      <c r="AO262" s="254"/>
      <c r="AP262" s="254"/>
      <c r="AQ262" s="254"/>
      <c r="AR262" s="254"/>
      <c r="AS262" s="254"/>
      <c r="AT262" s="254"/>
      <c r="AU262" s="254"/>
      <c r="AV262" s="254"/>
      <c r="AW262" s="254"/>
      <c r="AX262" s="254"/>
      <c r="AY262" s="254"/>
    </row>
    <row r="263" spans="2:51" x14ac:dyDescent="0.3">
      <c r="B263" s="1151"/>
      <c r="C263" s="766" t="s">
        <v>427</v>
      </c>
      <c r="D263" s="892" t="s">
        <v>453</v>
      </c>
      <c r="E263" s="890" t="str">
        <f t="shared" si="279"/>
        <v>N</v>
      </c>
      <c r="F263" s="890" t="str">
        <f t="shared" si="279"/>
        <v>A</v>
      </c>
      <c r="G263" s="890" t="str">
        <f t="shared" si="279"/>
        <v>A</v>
      </c>
      <c r="H263" s="890"/>
      <c r="I263" s="890"/>
      <c r="J263" s="890"/>
      <c r="K263" s="890"/>
      <c r="L263" s="890" t="str">
        <f t="shared" si="280"/>
        <v>A</v>
      </c>
      <c r="M263" s="890" t="str">
        <f t="shared" si="280"/>
        <v>N</v>
      </c>
      <c r="N263" s="890" t="str">
        <f t="shared" si="280"/>
        <v>N</v>
      </c>
      <c r="O263" s="890"/>
      <c r="P263" s="890" t="str">
        <f t="shared" si="281"/>
        <v>N</v>
      </c>
      <c r="Q263" s="890" t="str">
        <f t="shared" si="281"/>
        <v>A</v>
      </c>
      <c r="R263" s="890" t="str">
        <f t="shared" si="281"/>
        <v>A</v>
      </c>
      <c r="S263" s="890" t="str">
        <f t="shared" si="282"/>
        <v>A</v>
      </c>
      <c r="T263" s="890" t="str">
        <f t="shared" si="283"/>
        <v>A</v>
      </c>
      <c r="U263" s="890" t="str">
        <f t="shared" si="284"/>
        <v>A</v>
      </c>
      <c r="V263" s="890" t="str">
        <f t="shared" si="285"/>
        <v>A</v>
      </c>
      <c r="W263" s="890" t="str">
        <f t="shared" si="286"/>
        <v>A</v>
      </c>
      <c r="X263" s="890" t="str">
        <f t="shared" si="287"/>
        <v>A</v>
      </c>
      <c r="Y263" s="890" t="str">
        <f t="shared" si="288"/>
        <v>A</v>
      </c>
      <c r="Z263" s="890" t="str">
        <f t="shared" si="289"/>
        <v>A</v>
      </c>
      <c r="AA263" s="890" t="str">
        <f t="shared" si="290"/>
        <v>A</v>
      </c>
      <c r="AB263" s="890" t="str">
        <f t="shared" si="291"/>
        <v>A</v>
      </c>
      <c r="AC263" s="890" t="str">
        <f t="shared" si="292"/>
        <v>A</v>
      </c>
      <c r="AD263" s="891"/>
      <c r="AE263" s="884"/>
      <c r="AF263" s="885"/>
      <c r="AG263" s="886"/>
      <c r="AH263" s="887"/>
      <c r="AI263" s="888"/>
      <c r="AK263" s="252"/>
      <c r="AL263" s="254"/>
      <c r="AM263" s="254"/>
      <c r="AN263" s="254"/>
      <c r="AO263" s="254"/>
      <c r="AP263" s="254"/>
      <c r="AQ263" s="254"/>
      <c r="AR263" s="254"/>
      <c r="AS263" s="254"/>
      <c r="AT263" s="254"/>
      <c r="AU263" s="254"/>
      <c r="AV263" s="254"/>
      <c r="AW263" s="254"/>
      <c r="AX263" s="254"/>
      <c r="AY263" s="254"/>
    </row>
    <row r="264" spans="2:51" x14ac:dyDescent="0.3">
      <c r="B264" s="1151"/>
      <c r="C264" s="766" t="s">
        <v>429</v>
      </c>
      <c r="D264" s="892" t="s">
        <v>453</v>
      </c>
      <c r="E264" s="890" t="str">
        <f t="shared" si="279"/>
        <v>A</v>
      </c>
      <c r="F264" s="890" t="str">
        <f t="shared" si="279"/>
        <v>N</v>
      </c>
      <c r="G264" s="890" t="str">
        <f t="shared" si="279"/>
        <v>N</v>
      </c>
      <c r="H264" s="890"/>
      <c r="I264" s="890"/>
      <c r="J264" s="890"/>
      <c r="K264" s="890"/>
      <c r="L264" s="890" t="str">
        <f t="shared" si="280"/>
        <v>N</v>
      </c>
      <c r="M264" s="890" t="str">
        <f t="shared" si="280"/>
        <v>N</v>
      </c>
      <c r="N264" s="890" t="str">
        <f t="shared" si="280"/>
        <v>N</v>
      </c>
      <c r="O264" s="890"/>
      <c r="P264" s="890" t="str">
        <f t="shared" si="281"/>
        <v>N</v>
      </c>
      <c r="Q264" s="890" t="str">
        <f t="shared" si="281"/>
        <v>N</v>
      </c>
      <c r="R264" s="890" t="str">
        <f t="shared" si="281"/>
        <v>N</v>
      </c>
      <c r="S264" s="890" t="str">
        <f t="shared" si="282"/>
        <v>N</v>
      </c>
      <c r="T264" s="890" t="str">
        <f t="shared" si="283"/>
        <v>N</v>
      </c>
      <c r="U264" s="890" t="str">
        <f t="shared" si="284"/>
        <v>N</v>
      </c>
      <c r="V264" s="890" t="str">
        <f t="shared" si="285"/>
        <v>N</v>
      </c>
      <c r="W264" s="890" t="str">
        <f t="shared" si="286"/>
        <v>N</v>
      </c>
      <c r="X264" s="890" t="str">
        <f t="shared" si="287"/>
        <v>N</v>
      </c>
      <c r="Y264" s="890" t="str">
        <f t="shared" si="288"/>
        <v>N</v>
      </c>
      <c r="Z264" s="890" t="str">
        <f t="shared" si="289"/>
        <v>N</v>
      </c>
      <c r="AA264" s="890" t="str">
        <f t="shared" si="290"/>
        <v>N</v>
      </c>
      <c r="AB264" s="890" t="str">
        <f t="shared" si="291"/>
        <v>N</v>
      </c>
      <c r="AC264" s="890" t="str">
        <f t="shared" si="292"/>
        <v>N</v>
      </c>
      <c r="AD264" s="891"/>
      <c r="AE264" s="884"/>
      <c r="AF264" s="885"/>
      <c r="AG264" s="886"/>
      <c r="AH264" s="887"/>
      <c r="AI264" s="888"/>
      <c r="AK264" s="252"/>
      <c r="AL264" s="254"/>
      <c r="AM264" s="254"/>
      <c r="AN264" s="254"/>
      <c r="AO264" s="254"/>
      <c r="AP264" s="254"/>
      <c r="AQ264" s="254"/>
      <c r="AR264" s="254"/>
      <c r="AS264" s="254"/>
      <c r="AT264" s="254"/>
      <c r="AU264" s="254"/>
      <c r="AV264" s="254"/>
      <c r="AW264" s="254"/>
      <c r="AX264" s="254"/>
      <c r="AY264" s="254"/>
    </row>
    <row r="265" spans="2:51" x14ac:dyDescent="0.3">
      <c r="B265" s="1151"/>
      <c r="C265" s="770" t="s">
        <v>431</v>
      </c>
      <c r="D265" s="892" t="s">
        <v>453</v>
      </c>
      <c r="E265" s="890" t="str">
        <f t="shared" si="279"/>
        <v>N</v>
      </c>
      <c r="F265" s="890" t="str">
        <f t="shared" si="279"/>
        <v>A</v>
      </c>
      <c r="G265" s="890" t="str">
        <f t="shared" si="279"/>
        <v>N</v>
      </c>
      <c r="H265" s="890"/>
      <c r="I265" s="890"/>
      <c r="J265" s="890"/>
      <c r="K265" s="890"/>
      <c r="L265" s="890" t="str">
        <f t="shared" si="280"/>
        <v>A</v>
      </c>
      <c r="M265" s="890" t="str">
        <f t="shared" si="280"/>
        <v>N</v>
      </c>
      <c r="N265" s="890" t="str">
        <f t="shared" si="280"/>
        <v>N</v>
      </c>
      <c r="O265" s="890"/>
      <c r="P265" s="890" t="str">
        <f t="shared" si="281"/>
        <v>N</v>
      </c>
      <c r="Q265" s="890" t="str">
        <f t="shared" si="281"/>
        <v>N</v>
      </c>
      <c r="R265" s="890" t="str">
        <f t="shared" si="281"/>
        <v>A</v>
      </c>
      <c r="S265" s="890" t="str">
        <f t="shared" si="282"/>
        <v>A</v>
      </c>
      <c r="T265" s="890" t="str">
        <f t="shared" si="283"/>
        <v>A</v>
      </c>
      <c r="U265" s="890" t="str">
        <f t="shared" si="284"/>
        <v>N</v>
      </c>
      <c r="V265" s="890" t="str">
        <f t="shared" si="285"/>
        <v>A</v>
      </c>
      <c r="W265" s="890" t="str">
        <f t="shared" si="286"/>
        <v>N</v>
      </c>
      <c r="X265" s="890" t="str">
        <f t="shared" si="287"/>
        <v>N</v>
      </c>
      <c r="Y265" s="890" t="str">
        <f t="shared" si="288"/>
        <v>A</v>
      </c>
      <c r="Z265" s="890" t="str">
        <f t="shared" si="289"/>
        <v>A</v>
      </c>
      <c r="AA265" s="890" t="str">
        <f t="shared" si="290"/>
        <v>A</v>
      </c>
      <c r="AB265" s="890" t="str">
        <f t="shared" si="291"/>
        <v>N</v>
      </c>
      <c r="AC265" s="890" t="str">
        <f t="shared" si="292"/>
        <v>A</v>
      </c>
      <c r="AD265" s="891"/>
      <c r="AE265" s="884"/>
      <c r="AF265" s="885"/>
      <c r="AG265" s="886"/>
      <c r="AH265" s="887"/>
      <c r="AI265" s="888"/>
      <c r="AK265" s="252"/>
      <c r="AL265" s="254"/>
      <c r="AM265" s="254"/>
      <c r="AN265" s="254"/>
      <c r="AO265" s="254"/>
      <c r="AP265" s="254"/>
      <c r="AQ265" s="254"/>
      <c r="AR265" s="254"/>
      <c r="AS265" s="254"/>
      <c r="AT265" s="254"/>
      <c r="AU265" s="254"/>
      <c r="AV265" s="254"/>
      <c r="AW265" s="254"/>
      <c r="AX265" s="254"/>
      <c r="AY265" s="254"/>
    </row>
    <row r="266" spans="2:51" x14ac:dyDescent="0.3">
      <c r="B266" s="893"/>
      <c r="C266" s="894" t="s">
        <v>461</v>
      </c>
      <c r="D266" s="895">
        <v>0</v>
      </c>
      <c r="E266" s="896">
        <f t="shared" si="279"/>
        <v>0.2</v>
      </c>
      <c r="F266" s="897">
        <f t="shared" si="279"/>
        <v>0.2</v>
      </c>
      <c r="G266" s="897">
        <f t="shared" si="279"/>
        <v>0.25</v>
      </c>
      <c r="H266" s="897"/>
      <c r="I266" s="897"/>
      <c r="J266" s="897"/>
      <c r="K266" s="897"/>
      <c r="L266" s="897">
        <f t="shared" si="280"/>
        <v>0.2</v>
      </c>
      <c r="M266" s="897">
        <f t="shared" si="280"/>
        <v>0</v>
      </c>
      <c r="N266" s="897">
        <f t="shared" si="280"/>
        <v>0</v>
      </c>
      <c r="O266" s="897"/>
      <c r="P266" s="897">
        <f t="shared" si="281"/>
        <v>0</v>
      </c>
      <c r="Q266" s="897">
        <f t="shared" si="281"/>
        <v>0.25</v>
      </c>
      <c r="R266" s="897">
        <f t="shared" si="281"/>
        <v>0.2</v>
      </c>
      <c r="S266" s="897">
        <f t="shared" si="282"/>
        <v>0.2</v>
      </c>
      <c r="T266" s="897">
        <f t="shared" si="283"/>
        <v>0.2</v>
      </c>
      <c r="U266" s="897">
        <f t="shared" si="284"/>
        <v>0.25</v>
      </c>
      <c r="V266" s="897">
        <f t="shared" si="285"/>
        <v>0.35</v>
      </c>
      <c r="W266" s="897">
        <f t="shared" ref="W266" si="293">W20</f>
        <v>0.25</v>
      </c>
      <c r="X266" s="897">
        <f t="shared" si="287"/>
        <v>0.25</v>
      </c>
      <c r="Y266" s="897">
        <f t="shared" si="288"/>
        <v>0.2</v>
      </c>
      <c r="Z266" s="897">
        <f t="shared" si="289"/>
        <v>0.2</v>
      </c>
      <c r="AA266" s="897">
        <f t="shared" si="290"/>
        <v>0.35</v>
      </c>
      <c r="AB266" s="897">
        <f t="shared" si="291"/>
        <v>0.25</v>
      </c>
      <c r="AC266" s="897">
        <f t="shared" si="292"/>
        <v>0.2</v>
      </c>
      <c r="AD266" s="898"/>
      <c r="AE266" s="899"/>
      <c r="AF266" s="900"/>
      <c r="AG266" s="901"/>
      <c r="AH266" s="901"/>
      <c r="AI266" s="902"/>
      <c r="AK266" s="252"/>
      <c r="AL266" s="254"/>
      <c r="AM266" s="254"/>
      <c r="AN266" s="254"/>
      <c r="AO266" s="254"/>
      <c r="AP266" s="254"/>
      <c r="AQ266" s="254"/>
      <c r="AR266" s="254"/>
      <c r="AS266" s="254"/>
      <c r="AT266" s="254"/>
      <c r="AU266" s="254"/>
      <c r="AV266" s="254"/>
      <c r="AW266" s="254"/>
      <c r="AX266" s="254"/>
      <c r="AY266" s="254"/>
    </row>
    <row r="267" spans="2:51" ht="43.8" customHeight="1" x14ac:dyDescent="0.3">
      <c r="B267" s="256" t="str">
        <f>'Procesy - AS IS'!B68</f>
        <v>Meranie č. 19</v>
      </c>
      <c r="C267" s="749" t="str">
        <f>'Procesy - AS IS'!$C$68</f>
        <v>Považská cementáreň, a.s. , Environmentálne označovanie výrobkov, 5706/2018</v>
      </c>
      <c r="D267" s="872">
        <f>-'Procesy - AS IS'!D70*D280</f>
        <v>0</v>
      </c>
      <c r="E267" s="752">
        <f>-'Procesy - AS IS'!E70*E280</f>
        <v>-1.6</v>
      </c>
      <c r="F267" s="752">
        <f>-'Procesy - AS IS'!F70*F280</f>
        <v>0</v>
      </c>
      <c r="G267" s="752">
        <f>-'Procesy - AS IS'!G70*G280</f>
        <v>-3</v>
      </c>
      <c r="H267" s="752" t="s">
        <v>523</v>
      </c>
      <c r="I267" s="752" t="s">
        <v>523</v>
      </c>
      <c r="J267" s="752" t="s">
        <v>523</v>
      </c>
      <c r="K267" s="752" t="s">
        <v>523</v>
      </c>
      <c r="L267" s="752">
        <f>-'Procesy - AS IS'!L70*L280</f>
        <v>-0.8</v>
      </c>
      <c r="M267" s="752">
        <f>-'Procesy - AS IS'!M70*M280</f>
        <v>0</v>
      </c>
      <c r="N267" s="752" t="s">
        <v>525</v>
      </c>
      <c r="O267" s="752" t="s">
        <v>524</v>
      </c>
      <c r="P267" s="752">
        <f>-'Procesy - AS IS'!P70*P280</f>
        <v>0</v>
      </c>
      <c r="Q267" s="752">
        <f>-'Procesy - AS IS'!Q70*Q280</f>
        <v>0</v>
      </c>
      <c r="R267" s="752">
        <f>-'Procesy - AS IS'!R70*R280</f>
        <v>0</v>
      </c>
      <c r="S267" s="752">
        <f>-'Procesy - AS IS'!S70*S280</f>
        <v>-0.8</v>
      </c>
      <c r="T267" s="752">
        <f>-'Procesy - AS IS'!T70*T280</f>
        <v>0</v>
      </c>
      <c r="U267" s="752">
        <f>-'Procesy - AS IS'!U70*U280</f>
        <v>-1</v>
      </c>
      <c r="V267" s="752">
        <f>-'Procesy - AS IS'!V70*V280</f>
        <v>-1.4</v>
      </c>
      <c r="W267" s="752">
        <f>-'Procesy - AS IS'!W70*W280</f>
        <v>0</v>
      </c>
      <c r="X267" s="752">
        <f>-'Procesy - AS IS'!X70*X280</f>
        <v>0</v>
      </c>
      <c r="Y267" s="752">
        <f>-'Procesy - AS IS'!Y70*Y280</f>
        <v>0</v>
      </c>
      <c r="Z267" s="752">
        <f>-'Procesy - AS IS'!Z70*Z280</f>
        <v>0</v>
      </c>
      <c r="AA267" s="752">
        <f>-'Procesy - AS IS'!AA70*AA280</f>
        <v>0</v>
      </c>
      <c r="AB267" s="752">
        <f>-'Procesy - AS IS'!AB70*AB280</f>
        <v>0</v>
      </c>
      <c r="AC267" s="752">
        <f>-'Procesy - AS IS'!AC70*AC280</f>
        <v>0</v>
      </c>
      <c r="AD267" s="903">
        <f>SUM(D267:AC267)</f>
        <v>-8.6</v>
      </c>
      <c r="AE267" s="880">
        <f>AD267/'Procesy - AS IS'!AD70</f>
        <v>-0.19545454545454544</v>
      </c>
      <c r="AF267" s="881">
        <f>'Procesy - AS IS'!AG70/(1+$AE267)-'Procesy - AS IS'!AG70</f>
        <v>10.20338983050847</v>
      </c>
      <c r="AG267" s="882">
        <f>'Procesy - AS IS'!AH70/(1+$AE267)-'Procesy - AS IS'!AH70</f>
        <v>0</v>
      </c>
      <c r="AH267" s="877">
        <f>'Procesy - AS IS'!AI70/(1+$AE267)-'Procesy - AS IS'!AI70</f>
        <v>0</v>
      </c>
      <c r="AI267" s="878">
        <f>'Procesy - AS IS'!AJ70/(1+$AE267)-'Procesy - AS IS'!AJ70</f>
        <v>0</v>
      </c>
      <c r="AK267" s="252"/>
      <c r="AL267" s="254"/>
      <c r="AM267" s="254"/>
      <c r="AN267" s="254"/>
      <c r="AO267" s="254"/>
      <c r="AP267" s="254"/>
      <c r="AQ267" s="254"/>
      <c r="AR267" s="254"/>
      <c r="AS267" s="254"/>
      <c r="AT267" s="254"/>
      <c r="AU267" s="254"/>
      <c r="AV267" s="254"/>
      <c r="AW267" s="254"/>
      <c r="AX267" s="254"/>
      <c r="AY267" s="254"/>
    </row>
    <row r="268" spans="2:51" x14ac:dyDescent="0.3">
      <c r="B268" s="1150" t="s">
        <v>451</v>
      </c>
      <c r="C268" s="766" t="s">
        <v>409</v>
      </c>
      <c r="D268" s="890" t="s">
        <v>453</v>
      </c>
      <c r="E268" s="772" t="str">
        <f t="shared" ref="E268:F280" si="294">E240</f>
        <v>A</v>
      </c>
      <c r="F268" s="890" t="str">
        <f t="shared" si="294"/>
        <v>A</v>
      </c>
      <c r="G268" s="890" t="str">
        <f t="shared" ref="G268:G280" si="295">G254</f>
        <v>A</v>
      </c>
      <c r="H268" s="890"/>
      <c r="I268" s="890"/>
      <c r="J268" s="890"/>
      <c r="K268" s="890"/>
      <c r="L268" s="890" t="str">
        <f t="shared" ref="L268:N280" si="296">L254</f>
        <v>A</v>
      </c>
      <c r="M268" s="890" t="str">
        <f t="shared" si="296"/>
        <v>N</v>
      </c>
      <c r="N268" s="890" t="str">
        <f t="shared" si="296"/>
        <v>N</v>
      </c>
      <c r="O268" s="890"/>
      <c r="P268" s="890" t="str">
        <f t="shared" ref="P268:Q280" si="297">P240</f>
        <v>N</v>
      </c>
      <c r="Q268" s="890" t="str">
        <f t="shared" si="297"/>
        <v>A</v>
      </c>
      <c r="R268" s="890" t="str">
        <f t="shared" ref="R268:R280" si="298">R254</f>
        <v>A</v>
      </c>
      <c r="S268" s="890" t="str">
        <f t="shared" ref="S268:S280" si="299">R268</f>
        <v>A</v>
      </c>
      <c r="T268" s="890" t="str">
        <f t="shared" ref="T268:T280" si="300">R240</f>
        <v>A</v>
      </c>
      <c r="U268" s="890" t="str">
        <f t="shared" ref="U268:U280" si="301">$G268</f>
        <v>A</v>
      </c>
      <c r="V268" s="890" t="str">
        <f t="shared" ref="V268:V280" si="302">V240</f>
        <v>A</v>
      </c>
      <c r="W268" s="890" t="str">
        <f t="shared" ref="W268:W279" si="303">W7</f>
        <v>A</v>
      </c>
      <c r="X268" s="890" t="str">
        <f t="shared" ref="X268:X280" si="304">$G268</f>
        <v>A</v>
      </c>
      <c r="Y268" s="890" t="str">
        <f t="shared" ref="Y268:Y280" si="305">$R268</f>
        <v>A</v>
      </c>
      <c r="Z268" s="890" t="str">
        <f t="shared" ref="Z268:Z280" si="306">R240</f>
        <v>A</v>
      </c>
      <c r="AA268" s="890" t="str">
        <f t="shared" ref="AA268:AA280" si="307">$V268</f>
        <v>A</v>
      </c>
      <c r="AB268" s="890" t="str">
        <f t="shared" ref="AB268:AC280" si="308">$R268</f>
        <v>A</v>
      </c>
      <c r="AC268" s="890" t="str">
        <f t="shared" si="308"/>
        <v>A</v>
      </c>
      <c r="AD268" s="891"/>
      <c r="AE268" s="884"/>
      <c r="AF268" s="885"/>
      <c r="AG268" s="886"/>
      <c r="AH268" s="887"/>
      <c r="AI268" s="888"/>
      <c r="AK268" s="252"/>
      <c r="AL268" s="254"/>
      <c r="AM268" s="254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4"/>
      <c r="AY268" s="254"/>
    </row>
    <row r="269" spans="2:51" x14ac:dyDescent="0.3">
      <c r="B269" s="1151"/>
      <c r="C269" s="766" t="s">
        <v>411</v>
      </c>
      <c r="D269" s="889" t="s">
        <v>453</v>
      </c>
      <c r="E269" s="890" t="str">
        <f t="shared" si="294"/>
        <v>N</v>
      </c>
      <c r="F269" s="890" t="str">
        <f t="shared" si="294"/>
        <v>N</v>
      </c>
      <c r="G269" s="890" t="str">
        <f t="shared" si="295"/>
        <v>N</v>
      </c>
      <c r="H269" s="890"/>
      <c r="I269" s="890"/>
      <c r="J269" s="890"/>
      <c r="K269" s="890"/>
      <c r="L269" s="890" t="str">
        <f t="shared" si="296"/>
        <v>N</v>
      </c>
      <c r="M269" s="890" t="str">
        <f t="shared" si="296"/>
        <v>N</v>
      </c>
      <c r="N269" s="890" t="str">
        <f t="shared" si="296"/>
        <v>N</v>
      </c>
      <c r="O269" s="890"/>
      <c r="P269" s="890" t="str">
        <f t="shared" si="297"/>
        <v>N</v>
      </c>
      <c r="Q269" s="890" t="str">
        <f t="shared" si="297"/>
        <v>N</v>
      </c>
      <c r="R269" s="890" t="str">
        <f t="shared" si="298"/>
        <v>N</v>
      </c>
      <c r="S269" s="890" t="str">
        <f t="shared" si="299"/>
        <v>N</v>
      </c>
      <c r="T269" s="890" t="str">
        <f t="shared" si="300"/>
        <v>N</v>
      </c>
      <c r="U269" s="890" t="str">
        <f t="shared" si="301"/>
        <v>N</v>
      </c>
      <c r="V269" s="890" t="str">
        <f t="shared" si="302"/>
        <v>N</v>
      </c>
      <c r="W269" s="890" t="str">
        <f t="shared" si="303"/>
        <v>N</v>
      </c>
      <c r="X269" s="890" t="str">
        <f t="shared" si="304"/>
        <v>N</v>
      </c>
      <c r="Y269" s="890" t="str">
        <f t="shared" si="305"/>
        <v>N</v>
      </c>
      <c r="Z269" s="890" t="str">
        <f t="shared" si="306"/>
        <v>N</v>
      </c>
      <c r="AA269" s="890" t="str">
        <f t="shared" si="307"/>
        <v>N</v>
      </c>
      <c r="AB269" s="890" t="str">
        <f t="shared" si="308"/>
        <v>N</v>
      </c>
      <c r="AC269" s="890" t="str">
        <f t="shared" si="308"/>
        <v>N</v>
      </c>
      <c r="AD269" s="891"/>
      <c r="AE269" s="884"/>
      <c r="AF269" s="885"/>
      <c r="AG269" s="886"/>
      <c r="AH269" s="887"/>
      <c r="AI269" s="888"/>
      <c r="AK269" s="252"/>
      <c r="AL269" s="254"/>
      <c r="AM269" s="254"/>
      <c r="AN269" s="254"/>
      <c r="AO269" s="254"/>
      <c r="AP269" s="254"/>
      <c r="AQ269" s="254"/>
      <c r="AR269" s="254"/>
      <c r="AS269" s="254"/>
      <c r="AT269" s="254"/>
      <c r="AU269" s="254"/>
      <c r="AV269" s="254"/>
      <c r="AW269" s="254"/>
      <c r="AX269" s="254"/>
      <c r="AY269" s="254"/>
    </row>
    <row r="270" spans="2:51" x14ac:dyDescent="0.3">
      <c r="B270" s="1151"/>
      <c r="C270" s="766" t="s">
        <v>413</v>
      </c>
      <c r="D270" s="889" t="s">
        <v>453</v>
      </c>
      <c r="E270" s="890" t="str">
        <f t="shared" si="294"/>
        <v>N</v>
      </c>
      <c r="F270" s="890" t="str">
        <f t="shared" si="294"/>
        <v>N</v>
      </c>
      <c r="G270" s="890" t="str">
        <f t="shared" si="295"/>
        <v>N</v>
      </c>
      <c r="H270" s="890"/>
      <c r="I270" s="890"/>
      <c r="J270" s="890"/>
      <c r="K270" s="890"/>
      <c r="L270" s="890" t="str">
        <f t="shared" si="296"/>
        <v>N</v>
      </c>
      <c r="M270" s="890" t="str">
        <f t="shared" si="296"/>
        <v>N</v>
      </c>
      <c r="N270" s="890" t="str">
        <f t="shared" si="296"/>
        <v>N</v>
      </c>
      <c r="O270" s="890"/>
      <c r="P270" s="890" t="str">
        <f t="shared" si="297"/>
        <v>N</v>
      </c>
      <c r="Q270" s="890" t="str">
        <f t="shared" si="297"/>
        <v>N</v>
      </c>
      <c r="R270" s="890" t="str">
        <f t="shared" si="298"/>
        <v>N</v>
      </c>
      <c r="S270" s="890" t="str">
        <f t="shared" si="299"/>
        <v>N</v>
      </c>
      <c r="T270" s="890" t="str">
        <f t="shared" si="300"/>
        <v>N</v>
      </c>
      <c r="U270" s="890" t="str">
        <f t="shared" si="301"/>
        <v>N</v>
      </c>
      <c r="V270" s="890" t="str">
        <f t="shared" si="302"/>
        <v>N</v>
      </c>
      <c r="W270" s="890" t="str">
        <f t="shared" si="303"/>
        <v>N</v>
      </c>
      <c r="X270" s="890" t="str">
        <f t="shared" si="304"/>
        <v>N</v>
      </c>
      <c r="Y270" s="890" t="str">
        <f t="shared" si="305"/>
        <v>N</v>
      </c>
      <c r="Z270" s="890" t="str">
        <f t="shared" si="306"/>
        <v>N</v>
      </c>
      <c r="AA270" s="890" t="str">
        <f t="shared" si="307"/>
        <v>N</v>
      </c>
      <c r="AB270" s="890" t="str">
        <f t="shared" si="308"/>
        <v>N</v>
      </c>
      <c r="AC270" s="890" t="str">
        <f t="shared" si="308"/>
        <v>N</v>
      </c>
      <c r="AD270" s="891"/>
      <c r="AE270" s="884"/>
      <c r="AF270" s="885"/>
      <c r="AG270" s="886"/>
      <c r="AH270" s="887"/>
      <c r="AI270" s="888"/>
      <c r="AK270" s="252"/>
      <c r="AL270" s="254"/>
      <c r="AM270" s="254"/>
      <c r="AN270" s="254"/>
      <c r="AO270" s="254"/>
      <c r="AP270" s="254"/>
      <c r="AQ270" s="254"/>
      <c r="AR270" s="254"/>
      <c r="AS270" s="254"/>
      <c r="AT270" s="254"/>
      <c r="AU270" s="254"/>
      <c r="AV270" s="254"/>
      <c r="AW270" s="254"/>
      <c r="AX270" s="254"/>
      <c r="AY270" s="254"/>
    </row>
    <row r="271" spans="2:51" x14ac:dyDescent="0.3">
      <c r="B271" s="1151"/>
      <c r="C271" s="766" t="s">
        <v>415</v>
      </c>
      <c r="D271" s="892" t="s">
        <v>453</v>
      </c>
      <c r="E271" s="890" t="str">
        <f t="shared" si="294"/>
        <v>N</v>
      </c>
      <c r="F271" s="890" t="str">
        <f t="shared" si="294"/>
        <v>N</v>
      </c>
      <c r="G271" s="890" t="str">
        <f t="shared" si="295"/>
        <v>N</v>
      </c>
      <c r="H271" s="890"/>
      <c r="I271" s="890"/>
      <c r="J271" s="890"/>
      <c r="K271" s="890"/>
      <c r="L271" s="890" t="str">
        <f t="shared" si="296"/>
        <v>N</v>
      </c>
      <c r="M271" s="890" t="str">
        <f t="shared" si="296"/>
        <v>N</v>
      </c>
      <c r="N271" s="890" t="str">
        <f t="shared" si="296"/>
        <v>N</v>
      </c>
      <c r="O271" s="890"/>
      <c r="P271" s="890" t="str">
        <f t="shared" si="297"/>
        <v>N</v>
      </c>
      <c r="Q271" s="890" t="str">
        <f t="shared" si="297"/>
        <v>N</v>
      </c>
      <c r="R271" s="890" t="str">
        <f t="shared" si="298"/>
        <v>N</v>
      </c>
      <c r="S271" s="890" t="str">
        <f t="shared" si="299"/>
        <v>N</v>
      </c>
      <c r="T271" s="890" t="str">
        <f t="shared" si="300"/>
        <v>N</v>
      </c>
      <c r="U271" s="890" t="str">
        <f t="shared" si="301"/>
        <v>N</v>
      </c>
      <c r="V271" s="890" t="str">
        <f t="shared" si="302"/>
        <v>N</v>
      </c>
      <c r="W271" s="890" t="str">
        <f t="shared" si="303"/>
        <v>N</v>
      </c>
      <c r="X271" s="890" t="str">
        <f t="shared" si="304"/>
        <v>N</v>
      </c>
      <c r="Y271" s="890" t="str">
        <f t="shared" si="305"/>
        <v>N</v>
      </c>
      <c r="Z271" s="890" t="str">
        <f t="shared" si="306"/>
        <v>N</v>
      </c>
      <c r="AA271" s="890" t="str">
        <f t="shared" si="307"/>
        <v>N</v>
      </c>
      <c r="AB271" s="890" t="str">
        <f t="shared" si="308"/>
        <v>N</v>
      </c>
      <c r="AC271" s="890" t="str">
        <f t="shared" si="308"/>
        <v>N</v>
      </c>
      <c r="AD271" s="891"/>
      <c r="AE271" s="884"/>
      <c r="AF271" s="885"/>
      <c r="AG271" s="886"/>
      <c r="AH271" s="887"/>
      <c r="AI271" s="888"/>
      <c r="AK271" s="252"/>
      <c r="AL271" s="254"/>
      <c r="AM271" s="254"/>
      <c r="AN271" s="254"/>
      <c r="AO271" s="254"/>
      <c r="AP271" s="254"/>
      <c r="AQ271" s="254"/>
      <c r="AR271" s="254"/>
      <c r="AS271" s="254"/>
      <c r="AT271" s="254"/>
      <c r="AU271" s="254"/>
      <c r="AV271" s="254"/>
      <c r="AW271" s="254"/>
      <c r="AX271" s="254"/>
      <c r="AY271" s="254"/>
    </row>
    <row r="272" spans="2:51" x14ac:dyDescent="0.3">
      <c r="B272" s="1151"/>
      <c r="C272" s="766" t="s">
        <v>417</v>
      </c>
      <c r="D272" s="892" t="s">
        <v>453</v>
      </c>
      <c r="E272" s="890" t="str">
        <f t="shared" si="294"/>
        <v>A</v>
      </c>
      <c r="F272" s="890" t="str">
        <f t="shared" si="294"/>
        <v>A</v>
      </c>
      <c r="G272" s="890" t="str">
        <f t="shared" si="295"/>
        <v>A</v>
      </c>
      <c r="H272" s="890"/>
      <c r="I272" s="890"/>
      <c r="J272" s="890"/>
      <c r="K272" s="890"/>
      <c r="L272" s="890" t="str">
        <f t="shared" si="296"/>
        <v>A</v>
      </c>
      <c r="M272" s="890" t="str">
        <f t="shared" si="296"/>
        <v>N</v>
      </c>
      <c r="N272" s="890" t="str">
        <f t="shared" si="296"/>
        <v>N</v>
      </c>
      <c r="O272" s="890"/>
      <c r="P272" s="890" t="str">
        <f t="shared" si="297"/>
        <v>N</v>
      </c>
      <c r="Q272" s="890" t="str">
        <f t="shared" si="297"/>
        <v>A</v>
      </c>
      <c r="R272" s="890" t="str">
        <f t="shared" si="298"/>
        <v>A</v>
      </c>
      <c r="S272" s="890" t="str">
        <f t="shared" si="299"/>
        <v>A</v>
      </c>
      <c r="T272" s="890" t="str">
        <f t="shared" si="300"/>
        <v>A</v>
      </c>
      <c r="U272" s="890" t="str">
        <f t="shared" si="301"/>
        <v>A</v>
      </c>
      <c r="V272" s="890" t="str">
        <f t="shared" si="302"/>
        <v>A</v>
      </c>
      <c r="W272" s="890" t="str">
        <f t="shared" si="303"/>
        <v>A</v>
      </c>
      <c r="X272" s="890" t="str">
        <f t="shared" si="304"/>
        <v>A</v>
      </c>
      <c r="Y272" s="890" t="str">
        <f t="shared" si="305"/>
        <v>A</v>
      </c>
      <c r="Z272" s="890" t="str">
        <f t="shared" si="306"/>
        <v>A</v>
      </c>
      <c r="AA272" s="890" t="str">
        <f t="shared" si="307"/>
        <v>A</v>
      </c>
      <c r="AB272" s="890" t="str">
        <f t="shared" si="308"/>
        <v>A</v>
      </c>
      <c r="AC272" s="890" t="str">
        <f t="shared" si="308"/>
        <v>A</v>
      </c>
      <c r="AD272" s="891"/>
      <c r="AE272" s="884"/>
      <c r="AF272" s="885"/>
      <c r="AG272" s="886"/>
      <c r="AH272" s="887"/>
      <c r="AI272" s="888"/>
      <c r="AK272" s="252"/>
      <c r="AL272" s="254"/>
      <c r="AM272" s="254"/>
      <c r="AN272" s="254"/>
      <c r="AO272" s="254"/>
      <c r="AP272" s="254"/>
      <c r="AQ272" s="254"/>
      <c r="AR272" s="254"/>
      <c r="AS272" s="254"/>
      <c r="AT272" s="254"/>
      <c r="AU272" s="254"/>
      <c r="AV272" s="254"/>
      <c r="AW272" s="254"/>
      <c r="AX272" s="254"/>
      <c r="AY272" s="254"/>
    </row>
    <row r="273" spans="2:51" x14ac:dyDescent="0.3">
      <c r="B273" s="1151"/>
      <c r="C273" s="766" t="s">
        <v>419</v>
      </c>
      <c r="D273" s="892" t="s">
        <v>453</v>
      </c>
      <c r="E273" s="890" t="str">
        <f t="shared" si="294"/>
        <v>A</v>
      </c>
      <c r="F273" s="890" t="str">
        <f t="shared" si="294"/>
        <v>A</v>
      </c>
      <c r="G273" s="890" t="str">
        <f t="shared" si="295"/>
        <v>A</v>
      </c>
      <c r="H273" s="890"/>
      <c r="I273" s="890"/>
      <c r="J273" s="890"/>
      <c r="K273" s="890"/>
      <c r="L273" s="890" t="str">
        <f t="shared" si="296"/>
        <v>A</v>
      </c>
      <c r="M273" s="890" t="str">
        <f t="shared" si="296"/>
        <v>N</v>
      </c>
      <c r="N273" s="890" t="str">
        <f t="shared" si="296"/>
        <v>N</v>
      </c>
      <c r="O273" s="890"/>
      <c r="P273" s="890" t="str">
        <f t="shared" si="297"/>
        <v>N</v>
      </c>
      <c r="Q273" s="890" t="str">
        <f t="shared" si="297"/>
        <v>A</v>
      </c>
      <c r="R273" s="890" t="str">
        <f t="shared" si="298"/>
        <v>A</v>
      </c>
      <c r="S273" s="890" t="str">
        <f t="shared" si="299"/>
        <v>A</v>
      </c>
      <c r="T273" s="890" t="str">
        <f t="shared" si="300"/>
        <v>A</v>
      </c>
      <c r="U273" s="890" t="str">
        <f t="shared" si="301"/>
        <v>A</v>
      </c>
      <c r="V273" s="890" t="str">
        <f t="shared" si="302"/>
        <v>A</v>
      </c>
      <c r="W273" s="890" t="str">
        <f t="shared" si="303"/>
        <v>A</v>
      </c>
      <c r="X273" s="890" t="str">
        <f t="shared" si="304"/>
        <v>A</v>
      </c>
      <c r="Y273" s="890" t="str">
        <f t="shared" si="305"/>
        <v>A</v>
      </c>
      <c r="Z273" s="890" t="str">
        <f t="shared" si="306"/>
        <v>A</v>
      </c>
      <c r="AA273" s="890" t="str">
        <f t="shared" si="307"/>
        <v>A</v>
      </c>
      <c r="AB273" s="890" t="str">
        <f t="shared" si="308"/>
        <v>A</v>
      </c>
      <c r="AC273" s="890" t="str">
        <f t="shared" si="308"/>
        <v>A</v>
      </c>
      <c r="AD273" s="891"/>
      <c r="AE273" s="884"/>
      <c r="AF273" s="885"/>
      <c r="AG273" s="886"/>
      <c r="AH273" s="887"/>
      <c r="AI273" s="888"/>
      <c r="AK273" s="252"/>
      <c r="AL273" s="254"/>
      <c r="AM273" s="254"/>
      <c r="AN273" s="254"/>
      <c r="AO273" s="254"/>
      <c r="AP273" s="254"/>
      <c r="AQ273" s="254"/>
      <c r="AR273" s="254"/>
      <c r="AS273" s="254"/>
      <c r="AT273" s="254"/>
      <c r="AU273" s="254"/>
      <c r="AV273" s="254"/>
      <c r="AW273" s="254"/>
      <c r="AX273" s="254"/>
      <c r="AY273" s="254"/>
    </row>
    <row r="274" spans="2:51" x14ac:dyDescent="0.3">
      <c r="B274" s="1151"/>
      <c r="C274" s="766" t="s">
        <v>421</v>
      </c>
      <c r="D274" s="892" t="s">
        <v>453</v>
      </c>
      <c r="E274" s="890" t="str">
        <f t="shared" si="294"/>
        <v>N</v>
      </c>
      <c r="F274" s="890" t="str">
        <f t="shared" si="294"/>
        <v>N</v>
      </c>
      <c r="G274" s="890" t="str">
        <f t="shared" si="295"/>
        <v>A</v>
      </c>
      <c r="H274" s="890"/>
      <c r="I274" s="890"/>
      <c r="J274" s="890"/>
      <c r="K274" s="890"/>
      <c r="L274" s="890" t="str">
        <f t="shared" si="296"/>
        <v>N</v>
      </c>
      <c r="M274" s="890" t="str">
        <f t="shared" si="296"/>
        <v>N</v>
      </c>
      <c r="N274" s="890" t="str">
        <f t="shared" si="296"/>
        <v>N</v>
      </c>
      <c r="O274" s="890"/>
      <c r="P274" s="890" t="str">
        <f t="shared" si="297"/>
        <v>N</v>
      </c>
      <c r="Q274" s="890" t="str">
        <f t="shared" si="297"/>
        <v>A</v>
      </c>
      <c r="R274" s="890" t="str">
        <f t="shared" si="298"/>
        <v>N</v>
      </c>
      <c r="S274" s="890" t="str">
        <f t="shared" si="299"/>
        <v>N</v>
      </c>
      <c r="T274" s="890" t="str">
        <f t="shared" si="300"/>
        <v>N</v>
      </c>
      <c r="U274" s="890" t="str">
        <f t="shared" si="301"/>
        <v>A</v>
      </c>
      <c r="V274" s="890" t="str">
        <f t="shared" si="302"/>
        <v>A</v>
      </c>
      <c r="W274" s="890" t="str">
        <f t="shared" si="303"/>
        <v>A</v>
      </c>
      <c r="X274" s="890" t="str">
        <f t="shared" si="304"/>
        <v>A</v>
      </c>
      <c r="Y274" s="890" t="str">
        <f t="shared" si="305"/>
        <v>N</v>
      </c>
      <c r="Z274" s="890" t="str">
        <f t="shared" si="306"/>
        <v>N</v>
      </c>
      <c r="AA274" s="890" t="str">
        <f t="shared" si="307"/>
        <v>A</v>
      </c>
      <c r="AB274" s="890" t="str">
        <f t="shared" si="308"/>
        <v>N</v>
      </c>
      <c r="AC274" s="890" t="str">
        <f t="shared" si="308"/>
        <v>N</v>
      </c>
      <c r="AD274" s="891"/>
      <c r="AE274" s="884"/>
      <c r="AF274" s="885"/>
      <c r="AG274" s="886"/>
      <c r="AH274" s="887"/>
      <c r="AI274" s="888"/>
      <c r="AK274" s="252"/>
      <c r="AL274" s="254"/>
      <c r="AM274" s="254"/>
      <c r="AN274" s="254"/>
      <c r="AO274" s="254"/>
      <c r="AP274" s="254"/>
      <c r="AQ274" s="254"/>
      <c r="AR274" s="254"/>
      <c r="AS274" s="254"/>
      <c r="AT274" s="254"/>
      <c r="AU274" s="254"/>
      <c r="AV274" s="254"/>
      <c r="AW274" s="254"/>
      <c r="AX274" s="254"/>
      <c r="AY274" s="254"/>
    </row>
    <row r="275" spans="2:51" x14ac:dyDescent="0.3">
      <c r="B275" s="1151"/>
      <c r="C275" s="766" t="s">
        <v>423</v>
      </c>
      <c r="D275" s="892" t="s">
        <v>453</v>
      </c>
      <c r="E275" s="890" t="str">
        <f t="shared" si="294"/>
        <v>A</v>
      </c>
      <c r="F275" s="890" t="str">
        <f t="shared" si="294"/>
        <v>N</v>
      </c>
      <c r="G275" s="890" t="str">
        <f t="shared" si="295"/>
        <v>A</v>
      </c>
      <c r="H275" s="890"/>
      <c r="I275" s="890"/>
      <c r="J275" s="890"/>
      <c r="K275" s="890"/>
      <c r="L275" s="890" t="str">
        <f t="shared" si="296"/>
        <v>N</v>
      </c>
      <c r="M275" s="890" t="str">
        <f t="shared" si="296"/>
        <v>N</v>
      </c>
      <c r="N275" s="890" t="str">
        <f t="shared" si="296"/>
        <v>N</v>
      </c>
      <c r="O275" s="890"/>
      <c r="P275" s="890" t="str">
        <f t="shared" si="297"/>
        <v>N</v>
      </c>
      <c r="Q275" s="890" t="str">
        <f t="shared" si="297"/>
        <v>A</v>
      </c>
      <c r="R275" s="890" t="str">
        <f t="shared" si="298"/>
        <v>N</v>
      </c>
      <c r="S275" s="890" t="str">
        <f t="shared" si="299"/>
        <v>N</v>
      </c>
      <c r="T275" s="890" t="str">
        <f t="shared" si="300"/>
        <v>N</v>
      </c>
      <c r="U275" s="890" t="str">
        <f t="shared" si="301"/>
        <v>A</v>
      </c>
      <c r="V275" s="890" t="str">
        <f t="shared" si="302"/>
        <v>A</v>
      </c>
      <c r="W275" s="890" t="str">
        <f t="shared" si="303"/>
        <v>A</v>
      </c>
      <c r="X275" s="890" t="str">
        <f t="shared" si="304"/>
        <v>A</v>
      </c>
      <c r="Y275" s="890" t="str">
        <f t="shared" si="305"/>
        <v>N</v>
      </c>
      <c r="Z275" s="890" t="str">
        <f t="shared" si="306"/>
        <v>N</v>
      </c>
      <c r="AA275" s="890" t="str">
        <f t="shared" si="307"/>
        <v>A</v>
      </c>
      <c r="AB275" s="890" t="str">
        <f t="shared" si="308"/>
        <v>N</v>
      </c>
      <c r="AC275" s="890" t="str">
        <f t="shared" si="308"/>
        <v>N</v>
      </c>
      <c r="AD275" s="891"/>
      <c r="AE275" s="884"/>
      <c r="AF275" s="885"/>
      <c r="AG275" s="886"/>
      <c r="AH275" s="887"/>
      <c r="AI275" s="888"/>
      <c r="AK275" s="252"/>
      <c r="AL275" s="254"/>
      <c r="AM275" s="254"/>
      <c r="AN275" s="254"/>
      <c r="AO275" s="254"/>
      <c r="AP275" s="254"/>
      <c r="AQ275" s="254"/>
      <c r="AR275" s="254"/>
      <c r="AS275" s="254"/>
      <c r="AT275" s="254"/>
      <c r="AU275" s="254"/>
      <c r="AV275" s="254"/>
      <c r="AW275" s="254"/>
      <c r="AX275" s="254"/>
      <c r="AY275" s="254"/>
    </row>
    <row r="276" spans="2:51" x14ac:dyDescent="0.3">
      <c r="B276" s="1151"/>
      <c r="C276" s="766" t="s">
        <v>425</v>
      </c>
      <c r="D276" s="892" t="s">
        <v>453</v>
      </c>
      <c r="E276" s="890" t="str">
        <f t="shared" si="294"/>
        <v>N</v>
      </c>
      <c r="F276" s="890" t="str">
        <f t="shared" si="294"/>
        <v>N</v>
      </c>
      <c r="G276" s="890" t="str">
        <f t="shared" si="295"/>
        <v>N</v>
      </c>
      <c r="H276" s="890"/>
      <c r="I276" s="890"/>
      <c r="J276" s="890"/>
      <c r="K276" s="890"/>
      <c r="L276" s="890" t="str">
        <f t="shared" si="296"/>
        <v>N</v>
      </c>
      <c r="M276" s="890" t="str">
        <f t="shared" si="296"/>
        <v>N</v>
      </c>
      <c r="N276" s="890" t="str">
        <f t="shared" si="296"/>
        <v>N</v>
      </c>
      <c r="O276" s="890"/>
      <c r="P276" s="890" t="str">
        <f t="shared" si="297"/>
        <v>N</v>
      </c>
      <c r="Q276" s="890" t="str">
        <f t="shared" si="297"/>
        <v>N</v>
      </c>
      <c r="R276" s="890" t="str">
        <f t="shared" si="298"/>
        <v>N</v>
      </c>
      <c r="S276" s="890" t="str">
        <f t="shared" si="299"/>
        <v>N</v>
      </c>
      <c r="T276" s="890" t="str">
        <f t="shared" si="300"/>
        <v>N</v>
      </c>
      <c r="U276" s="890" t="str">
        <f t="shared" si="301"/>
        <v>N</v>
      </c>
      <c r="V276" s="890" t="str">
        <f t="shared" si="302"/>
        <v>A</v>
      </c>
      <c r="W276" s="890" t="str">
        <f t="shared" si="303"/>
        <v>N</v>
      </c>
      <c r="X276" s="890" t="str">
        <f t="shared" si="304"/>
        <v>N</v>
      </c>
      <c r="Y276" s="890" t="str">
        <f t="shared" si="305"/>
        <v>N</v>
      </c>
      <c r="Z276" s="890" t="str">
        <f t="shared" si="306"/>
        <v>N</v>
      </c>
      <c r="AA276" s="890" t="str">
        <f t="shared" si="307"/>
        <v>A</v>
      </c>
      <c r="AB276" s="890" t="str">
        <f t="shared" si="308"/>
        <v>N</v>
      </c>
      <c r="AC276" s="890" t="str">
        <f t="shared" si="308"/>
        <v>N</v>
      </c>
      <c r="AD276" s="891"/>
      <c r="AE276" s="884"/>
      <c r="AF276" s="885"/>
      <c r="AG276" s="886"/>
      <c r="AH276" s="887"/>
      <c r="AI276" s="888"/>
      <c r="AK276" s="252"/>
      <c r="AL276" s="254"/>
      <c r="AM276" s="254"/>
      <c r="AN276" s="254"/>
      <c r="AO276" s="254"/>
      <c r="AP276" s="254"/>
      <c r="AQ276" s="254"/>
      <c r="AR276" s="254"/>
      <c r="AS276" s="254"/>
      <c r="AT276" s="254"/>
      <c r="AU276" s="254"/>
      <c r="AV276" s="254"/>
      <c r="AW276" s="254"/>
      <c r="AX276" s="254"/>
      <c r="AY276" s="254"/>
    </row>
    <row r="277" spans="2:51" x14ac:dyDescent="0.3">
      <c r="B277" s="1151"/>
      <c r="C277" s="766" t="s">
        <v>427</v>
      </c>
      <c r="D277" s="892" t="s">
        <v>453</v>
      </c>
      <c r="E277" s="890" t="str">
        <f t="shared" si="294"/>
        <v>N</v>
      </c>
      <c r="F277" s="890" t="str">
        <f t="shared" si="294"/>
        <v>A</v>
      </c>
      <c r="G277" s="890" t="str">
        <f t="shared" si="295"/>
        <v>A</v>
      </c>
      <c r="H277" s="890"/>
      <c r="I277" s="890"/>
      <c r="J277" s="890"/>
      <c r="K277" s="890"/>
      <c r="L277" s="890" t="str">
        <f t="shared" si="296"/>
        <v>A</v>
      </c>
      <c r="M277" s="890" t="str">
        <f t="shared" si="296"/>
        <v>N</v>
      </c>
      <c r="N277" s="890" t="str">
        <f t="shared" si="296"/>
        <v>N</v>
      </c>
      <c r="O277" s="890"/>
      <c r="P277" s="890" t="str">
        <f t="shared" si="297"/>
        <v>N</v>
      </c>
      <c r="Q277" s="890" t="str">
        <f t="shared" si="297"/>
        <v>A</v>
      </c>
      <c r="R277" s="890" t="str">
        <f t="shared" si="298"/>
        <v>A</v>
      </c>
      <c r="S277" s="890" t="str">
        <f t="shared" si="299"/>
        <v>A</v>
      </c>
      <c r="T277" s="890" t="str">
        <f t="shared" si="300"/>
        <v>A</v>
      </c>
      <c r="U277" s="890" t="str">
        <f t="shared" si="301"/>
        <v>A</v>
      </c>
      <c r="V277" s="890" t="str">
        <f t="shared" si="302"/>
        <v>A</v>
      </c>
      <c r="W277" s="890" t="str">
        <f t="shared" si="303"/>
        <v>A</v>
      </c>
      <c r="X277" s="890" t="str">
        <f t="shared" si="304"/>
        <v>A</v>
      </c>
      <c r="Y277" s="890" t="str">
        <f t="shared" si="305"/>
        <v>A</v>
      </c>
      <c r="Z277" s="890" t="str">
        <f t="shared" si="306"/>
        <v>A</v>
      </c>
      <c r="AA277" s="890" t="str">
        <f t="shared" si="307"/>
        <v>A</v>
      </c>
      <c r="AB277" s="890" t="str">
        <f t="shared" si="308"/>
        <v>A</v>
      </c>
      <c r="AC277" s="890" t="str">
        <f t="shared" si="308"/>
        <v>A</v>
      </c>
      <c r="AD277" s="891"/>
      <c r="AE277" s="884"/>
      <c r="AF277" s="885"/>
      <c r="AG277" s="886"/>
      <c r="AH277" s="887"/>
      <c r="AI277" s="888"/>
      <c r="AK277" s="252"/>
      <c r="AL277" s="254"/>
      <c r="AM277" s="254"/>
      <c r="AN277" s="254"/>
      <c r="AO277" s="254"/>
      <c r="AP277" s="254"/>
      <c r="AQ277" s="254"/>
      <c r="AR277" s="254"/>
      <c r="AS277" s="254"/>
      <c r="AT277" s="254"/>
      <c r="AU277" s="254"/>
      <c r="AV277" s="254"/>
      <c r="AW277" s="254"/>
      <c r="AX277" s="254"/>
      <c r="AY277" s="254"/>
    </row>
    <row r="278" spans="2:51" x14ac:dyDescent="0.3">
      <c r="B278" s="1151"/>
      <c r="C278" s="766" t="s">
        <v>429</v>
      </c>
      <c r="D278" s="892" t="s">
        <v>453</v>
      </c>
      <c r="E278" s="890" t="str">
        <f t="shared" si="294"/>
        <v>A</v>
      </c>
      <c r="F278" s="890" t="str">
        <f t="shared" si="294"/>
        <v>N</v>
      </c>
      <c r="G278" s="890" t="str">
        <f t="shared" si="295"/>
        <v>N</v>
      </c>
      <c r="H278" s="890"/>
      <c r="I278" s="890"/>
      <c r="J278" s="890"/>
      <c r="K278" s="890"/>
      <c r="L278" s="890" t="str">
        <f t="shared" si="296"/>
        <v>N</v>
      </c>
      <c r="M278" s="890" t="str">
        <f t="shared" si="296"/>
        <v>N</v>
      </c>
      <c r="N278" s="890" t="str">
        <f t="shared" si="296"/>
        <v>N</v>
      </c>
      <c r="O278" s="890"/>
      <c r="P278" s="890" t="str">
        <f t="shared" si="297"/>
        <v>N</v>
      </c>
      <c r="Q278" s="890" t="str">
        <f t="shared" si="297"/>
        <v>N</v>
      </c>
      <c r="R278" s="890" t="str">
        <f t="shared" si="298"/>
        <v>N</v>
      </c>
      <c r="S278" s="890" t="str">
        <f t="shared" si="299"/>
        <v>N</v>
      </c>
      <c r="T278" s="890" t="str">
        <f t="shared" si="300"/>
        <v>N</v>
      </c>
      <c r="U278" s="890" t="str">
        <f t="shared" si="301"/>
        <v>N</v>
      </c>
      <c r="V278" s="890" t="str">
        <f t="shared" si="302"/>
        <v>N</v>
      </c>
      <c r="W278" s="890" t="str">
        <f t="shared" si="303"/>
        <v>N</v>
      </c>
      <c r="X278" s="890" t="str">
        <f t="shared" si="304"/>
        <v>N</v>
      </c>
      <c r="Y278" s="890" t="str">
        <f t="shared" si="305"/>
        <v>N</v>
      </c>
      <c r="Z278" s="890" t="str">
        <f t="shared" si="306"/>
        <v>N</v>
      </c>
      <c r="AA278" s="890" t="str">
        <f t="shared" si="307"/>
        <v>N</v>
      </c>
      <c r="AB278" s="890" t="str">
        <f t="shared" si="308"/>
        <v>N</v>
      </c>
      <c r="AC278" s="890" t="str">
        <f t="shared" si="308"/>
        <v>N</v>
      </c>
      <c r="AD278" s="891"/>
      <c r="AE278" s="884"/>
      <c r="AF278" s="885"/>
      <c r="AG278" s="886"/>
      <c r="AH278" s="887"/>
      <c r="AI278" s="888"/>
      <c r="AK278" s="252"/>
      <c r="AL278" s="254"/>
      <c r="AM278" s="254"/>
      <c r="AN278" s="254"/>
      <c r="AO278" s="254"/>
      <c r="AP278" s="254"/>
      <c r="AQ278" s="254"/>
      <c r="AR278" s="254"/>
      <c r="AS278" s="254"/>
      <c r="AT278" s="254"/>
      <c r="AU278" s="254"/>
      <c r="AV278" s="254"/>
      <c r="AW278" s="254"/>
      <c r="AX278" s="254"/>
      <c r="AY278" s="254"/>
    </row>
    <row r="279" spans="2:51" x14ac:dyDescent="0.3">
      <c r="B279" s="1151"/>
      <c r="C279" s="770" t="s">
        <v>431</v>
      </c>
      <c r="D279" s="892" t="s">
        <v>453</v>
      </c>
      <c r="E279" s="890" t="str">
        <f t="shared" si="294"/>
        <v>N</v>
      </c>
      <c r="F279" s="890" t="str">
        <f t="shared" si="294"/>
        <v>A</v>
      </c>
      <c r="G279" s="890" t="str">
        <f t="shared" si="295"/>
        <v>N</v>
      </c>
      <c r="H279" s="890"/>
      <c r="I279" s="890"/>
      <c r="J279" s="890"/>
      <c r="K279" s="890"/>
      <c r="L279" s="890" t="str">
        <f t="shared" si="296"/>
        <v>A</v>
      </c>
      <c r="M279" s="890" t="str">
        <f t="shared" si="296"/>
        <v>N</v>
      </c>
      <c r="N279" s="890" t="str">
        <f t="shared" si="296"/>
        <v>N</v>
      </c>
      <c r="O279" s="890"/>
      <c r="P279" s="890" t="str">
        <f t="shared" si="297"/>
        <v>N</v>
      </c>
      <c r="Q279" s="890" t="str">
        <f t="shared" si="297"/>
        <v>N</v>
      </c>
      <c r="R279" s="890" t="str">
        <f t="shared" si="298"/>
        <v>A</v>
      </c>
      <c r="S279" s="890" t="str">
        <f t="shared" si="299"/>
        <v>A</v>
      </c>
      <c r="T279" s="890" t="str">
        <f t="shared" si="300"/>
        <v>A</v>
      </c>
      <c r="U279" s="890" t="str">
        <f t="shared" si="301"/>
        <v>N</v>
      </c>
      <c r="V279" s="890" t="str">
        <f t="shared" si="302"/>
        <v>A</v>
      </c>
      <c r="W279" s="890" t="str">
        <f t="shared" si="303"/>
        <v>N</v>
      </c>
      <c r="X279" s="890" t="str">
        <f t="shared" si="304"/>
        <v>N</v>
      </c>
      <c r="Y279" s="890" t="str">
        <f t="shared" si="305"/>
        <v>A</v>
      </c>
      <c r="Z279" s="890" t="str">
        <f t="shared" si="306"/>
        <v>A</v>
      </c>
      <c r="AA279" s="890" t="str">
        <f t="shared" si="307"/>
        <v>A</v>
      </c>
      <c r="AB279" s="890" t="str">
        <f t="shared" si="308"/>
        <v>A</v>
      </c>
      <c r="AC279" s="890" t="str">
        <f t="shared" si="308"/>
        <v>A</v>
      </c>
      <c r="AD279" s="891"/>
      <c r="AE279" s="884"/>
      <c r="AF279" s="885"/>
      <c r="AG279" s="886"/>
      <c r="AH279" s="887"/>
      <c r="AI279" s="888"/>
      <c r="AK279" s="252"/>
      <c r="AL279" s="254"/>
      <c r="AM279" s="254"/>
      <c r="AN279" s="254"/>
      <c r="AO279" s="254"/>
      <c r="AP279" s="254"/>
      <c r="AQ279" s="254"/>
      <c r="AR279" s="254"/>
      <c r="AS279" s="254"/>
      <c r="AT279" s="254"/>
      <c r="AU279" s="254"/>
      <c r="AV279" s="254"/>
      <c r="AW279" s="254"/>
      <c r="AX279" s="254"/>
      <c r="AY279" s="254"/>
    </row>
    <row r="280" spans="2:51" x14ac:dyDescent="0.3">
      <c r="B280" s="893"/>
      <c r="C280" s="894" t="s">
        <v>461</v>
      </c>
      <c r="D280" s="895">
        <v>0</v>
      </c>
      <c r="E280" s="896">
        <f t="shared" si="294"/>
        <v>0.2</v>
      </c>
      <c r="F280" s="897">
        <f t="shared" si="294"/>
        <v>0.2</v>
      </c>
      <c r="G280" s="897">
        <f t="shared" si="295"/>
        <v>0.25</v>
      </c>
      <c r="H280" s="897"/>
      <c r="I280" s="897"/>
      <c r="J280" s="897"/>
      <c r="K280" s="897"/>
      <c r="L280" s="897">
        <f t="shared" si="296"/>
        <v>0.2</v>
      </c>
      <c r="M280" s="897">
        <f t="shared" si="296"/>
        <v>0</v>
      </c>
      <c r="N280" s="897">
        <f t="shared" si="296"/>
        <v>0</v>
      </c>
      <c r="O280" s="897"/>
      <c r="P280" s="897">
        <f t="shared" si="297"/>
        <v>0</v>
      </c>
      <c r="Q280" s="897">
        <f t="shared" si="297"/>
        <v>0.25</v>
      </c>
      <c r="R280" s="897">
        <f t="shared" si="298"/>
        <v>0.2</v>
      </c>
      <c r="S280" s="897">
        <f t="shared" si="299"/>
        <v>0.2</v>
      </c>
      <c r="T280" s="897">
        <f t="shared" si="300"/>
        <v>0.2</v>
      </c>
      <c r="U280" s="897">
        <f t="shared" si="301"/>
        <v>0.25</v>
      </c>
      <c r="V280" s="897">
        <f t="shared" si="302"/>
        <v>0.35</v>
      </c>
      <c r="W280" s="897">
        <f t="shared" ref="W280" si="309">W20</f>
        <v>0.25</v>
      </c>
      <c r="X280" s="897">
        <f t="shared" si="304"/>
        <v>0.25</v>
      </c>
      <c r="Y280" s="897">
        <f t="shared" si="305"/>
        <v>0.2</v>
      </c>
      <c r="Z280" s="897">
        <f t="shared" si="306"/>
        <v>0.2</v>
      </c>
      <c r="AA280" s="897">
        <f t="shared" si="307"/>
        <v>0.35</v>
      </c>
      <c r="AB280" s="897">
        <f t="shared" si="308"/>
        <v>0.2</v>
      </c>
      <c r="AC280" s="897">
        <f t="shared" si="308"/>
        <v>0.2</v>
      </c>
      <c r="AD280" s="898"/>
      <c r="AE280" s="899"/>
      <c r="AF280" s="900"/>
      <c r="AG280" s="901"/>
      <c r="AH280" s="901"/>
      <c r="AI280" s="902"/>
      <c r="AK280" s="252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</row>
    <row r="281" spans="2:51" ht="15" thickBot="1" x14ac:dyDescent="0.35">
      <c r="B281" s="839"/>
      <c r="C281" s="840" t="s">
        <v>535</v>
      </c>
      <c r="D281" s="841"/>
      <c r="E281" s="841"/>
      <c r="F281" s="841"/>
      <c r="G281" s="842"/>
      <c r="H281" s="842"/>
      <c r="I281" s="842"/>
      <c r="J281" s="842"/>
      <c r="K281" s="842"/>
      <c r="L281" s="842"/>
      <c r="M281" s="842"/>
      <c r="N281" s="842"/>
      <c r="O281" s="842"/>
      <c r="P281" s="842"/>
      <c r="Q281" s="842"/>
      <c r="R281" s="842"/>
      <c r="S281" s="842"/>
      <c r="T281" s="842"/>
      <c r="U281" s="842"/>
      <c r="V281" s="842"/>
      <c r="W281" s="842"/>
      <c r="X281" s="842"/>
      <c r="Y281" s="842"/>
      <c r="Z281" s="842"/>
      <c r="AA281" s="842"/>
      <c r="AB281" s="842"/>
      <c r="AC281" s="842"/>
      <c r="AD281" s="904"/>
      <c r="AE281" s="905"/>
      <c r="AF281" s="906">
        <f>'Procesy - AS IS'!AG71/(1+$AE238)-'Procesy - AS IS'!AG71</f>
        <v>1.0060994712738953</v>
      </c>
      <c r="AG281" s="907">
        <f>'Procesy - AS IS'!AH71/(1+$AE238)-'Procesy - AS IS'!AH71</f>
        <v>0</v>
      </c>
      <c r="AH281" s="907">
        <f>'Procesy - AS IS'!AI71/(1+$AE238)-'Procesy - AS IS'!AI71</f>
        <v>0</v>
      </c>
      <c r="AI281" s="908">
        <f>'Procesy - AS IS'!AJ71/(1+$AE238)-'Procesy - AS IS'!AJ71</f>
        <v>0</v>
      </c>
      <c r="AK281" s="252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</row>
    <row r="282" spans="2:51" ht="14.4" customHeight="1" x14ac:dyDescent="0.3">
      <c r="B282" s="756" t="str">
        <f>'Procesy - AS IS'!B72</f>
        <v>Zdroj 6</v>
      </c>
      <c r="C282" s="757" t="str">
        <f>'Procesy - AS IS'!C72</f>
        <v>Integrované povoľovanie a kontrola</v>
      </c>
      <c r="D282" s="872">
        <f>D283*$AF283/($AF282-$AF297)</f>
        <v>0</v>
      </c>
      <c r="E282" s="750">
        <f>E283*$AF283/($AF282-$AF297)</f>
        <v>0</v>
      </c>
      <c r="F282" s="750">
        <f>F283*$AF283/($AF282-$AF297)</f>
        <v>0</v>
      </c>
      <c r="G282" s="760">
        <f>G283*$AF283/($AF282-$AF297)</f>
        <v>-6.9999999999999991</v>
      </c>
      <c r="H282" s="753"/>
      <c r="I282" s="753"/>
      <c r="J282" s="753"/>
      <c r="K282" s="753"/>
      <c r="L282" s="753"/>
      <c r="M282" s="760">
        <f>M283*$AF283/($AF282-$AF297)</f>
        <v>0</v>
      </c>
      <c r="N282" s="750"/>
      <c r="O282" s="750"/>
      <c r="P282" s="750">
        <f t="shared" ref="P282:AC282" si="310">P283*$AF283/($AF282-$AF297)</f>
        <v>0</v>
      </c>
      <c r="Q282" s="750">
        <f t="shared" si="310"/>
        <v>0</v>
      </c>
      <c r="R282" s="750">
        <f t="shared" si="310"/>
        <v>0</v>
      </c>
      <c r="S282" s="750">
        <f t="shared" si="310"/>
        <v>0</v>
      </c>
      <c r="T282" s="750">
        <f t="shared" si="310"/>
        <v>-0.56978417266187054</v>
      </c>
      <c r="U282" s="750">
        <f t="shared" si="310"/>
        <v>0</v>
      </c>
      <c r="V282" s="750">
        <f t="shared" si="310"/>
        <v>-0.17499999999999999</v>
      </c>
      <c r="W282" s="750">
        <f t="shared" si="310"/>
        <v>-0.20863309352517986</v>
      </c>
      <c r="X282" s="750">
        <f t="shared" si="310"/>
        <v>0</v>
      </c>
      <c r="Y282" s="750">
        <f t="shared" si="310"/>
        <v>-1.0014388489208634</v>
      </c>
      <c r="Z282" s="750">
        <f t="shared" si="310"/>
        <v>-8.9928057553956831E-3</v>
      </c>
      <c r="AA282" s="750">
        <f t="shared" si="310"/>
        <v>-6.2949640287769781E-2</v>
      </c>
      <c r="AB282" s="750">
        <f t="shared" si="310"/>
        <v>0</v>
      </c>
      <c r="AC282" s="751">
        <f t="shared" si="310"/>
        <v>-12.086330935251798</v>
      </c>
      <c r="AD282" s="909">
        <f>SUM(AD283:AD296)</f>
        <v>-21.113129496402877</v>
      </c>
      <c r="AE282" s="874">
        <f>-SUM(AF283:AF296)/('Procesy - AS IS'!AG72+SUM(AF283:AF296))</f>
        <v>-0.20935777853079129</v>
      </c>
      <c r="AF282" s="910">
        <f>SUM(AF283:AF296)</f>
        <v>73.612894494057343</v>
      </c>
      <c r="AG282" s="911">
        <f>SUM(AG283:AG296)</f>
        <v>26.214663866588765</v>
      </c>
      <c r="AH282" s="877">
        <f>SUM(AH283:AH296)</f>
        <v>15.358085901637864</v>
      </c>
      <c r="AI282" s="912">
        <f>SUM(AI283:AI296)</f>
        <v>6.6198646127749399</v>
      </c>
      <c r="AK282" s="252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</row>
    <row r="283" spans="2:51" ht="43.2" customHeight="1" x14ac:dyDescent="0.3">
      <c r="B283" s="808" t="str">
        <f>'Procesy - AS IS'!B73</f>
        <v>Meranie č. 20</v>
      </c>
      <c r="C283" s="769" t="str">
        <f>'Procesy - AS IS'!$C$73</f>
        <v>Slovnaft, LDPE4 - Nová výrobnňa polyetylénu, 2370-13658/37/2013/Tot,Heg/370190306</v>
      </c>
      <c r="D283" s="872">
        <f>-'Procesy - AS IS'!D75*D296</f>
        <v>0</v>
      </c>
      <c r="E283" s="752">
        <f>-'Procesy - AS IS'!E75*E296</f>
        <v>0</v>
      </c>
      <c r="F283" s="752">
        <f>-'Procesy - AS IS'!F75*F296</f>
        <v>0</v>
      </c>
      <c r="G283" s="752">
        <f>-'Procesy - AS IS'!G75*G296</f>
        <v>-7</v>
      </c>
      <c r="H283" s="752" t="s">
        <v>523</v>
      </c>
      <c r="I283" s="752" t="s">
        <v>523</v>
      </c>
      <c r="J283" s="752" t="s">
        <v>523</v>
      </c>
      <c r="K283" s="752" t="s">
        <v>523</v>
      </c>
      <c r="L283" s="752" t="s">
        <v>523</v>
      </c>
      <c r="M283" s="752">
        <f>-'Procesy - AS IS'!M75*M296</f>
        <v>0</v>
      </c>
      <c r="N283" s="752" t="s">
        <v>523</v>
      </c>
      <c r="O283" s="752" t="s">
        <v>524</v>
      </c>
      <c r="P283" s="752">
        <f>-'Procesy - AS IS'!P75*P296</f>
        <v>0</v>
      </c>
      <c r="Q283" s="752">
        <f>-'Procesy - AS IS'!Q75*Q296</f>
        <v>0</v>
      </c>
      <c r="R283" s="752">
        <f>-'Procesy - AS IS'!R75*R296</f>
        <v>0</v>
      </c>
      <c r="S283" s="752">
        <f>-'Procesy - AS IS'!S75*S296</f>
        <v>0</v>
      </c>
      <c r="T283" s="752">
        <f>-'Procesy - AS IS'!T75*T296</f>
        <v>-0.56978417266187054</v>
      </c>
      <c r="U283" s="752">
        <f>-'Procesy - AS IS'!U75*U296</f>
        <v>0</v>
      </c>
      <c r="V283" s="752">
        <f>-'Procesy - AS IS'!V75*V296</f>
        <v>-0.17499999999999999</v>
      </c>
      <c r="W283" s="752">
        <f>-'Procesy - AS IS'!W75*W296</f>
        <v>-0.20863309352517986</v>
      </c>
      <c r="X283" s="752">
        <f>-'Procesy - AS IS'!X75*X296</f>
        <v>0</v>
      </c>
      <c r="Y283" s="752">
        <f>-'Procesy - AS IS'!Y75*Y296</f>
        <v>-1.0014388489208634</v>
      </c>
      <c r="Z283" s="752">
        <f>-'Procesy - AS IS'!Z75*Z296</f>
        <v>-8.9928057553956831E-3</v>
      </c>
      <c r="AA283" s="752">
        <f>-'Procesy - AS IS'!AA75*AA296</f>
        <v>-6.2949640287769781E-2</v>
      </c>
      <c r="AB283" s="752">
        <f>-'Procesy - AS IS'!AB75*AB296</f>
        <v>0</v>
      </c>
      <c r="AC283" s="752">
        <f>-'Procesy - AS IS'!AC75*AC296</f>
        <v>-12.086330935251798</v>
      </c>
      <c r="AD283" s="903">
        <f>SUM(D283:AC283)</f>
        <v>-21.113129496402877</v>
      </c>
      <c r="AE283" s="880">
        <f>AD283/'Procesy - AS IS'!AD75</f>
        <v>-0.20935777853079132</v>
      </c>
      <c r="AF283" s="881">
        <f>'Procesy - AS IS'!AG75/(1+$AE283)-'Procesy - AS IS'!AG75</f>
        <v>73.612894494057343</v>
      </c>
      <c r="AG283" s="882">
        <f>'Procesy - AS IS'!AH75/(1+$AE283)-'Procesy - AS IS'!AH75</f>
        <v>26.214663866588765</v>
      </c>
      <c r="AH283" s="877">
        <f>'Procesy - AS IS'!AI75/(1+$AE283)-'Procesy - AS IS'!AI75</f>
        <v>15.358085901637864</v>
      </c>
      <c r="AI283" s="878">
        <f>'Procesy - AS IS'!AJ75/(1+$AE283)-'Procesy - AS IS'!AJ75</f>
        <v>6.6198646127749399</v>
      </c>
      <c r="AK283" s="252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</row>
    <row r="284" spans="2:51" x14ac:dyDescent="0.3">
      <c r="B284" s="1150" t="s">
        <v>451</v>
      </c>
      <c r="C284" s="766" t="s">
        <v>409</v>
      </c>
      <c r="D284" s="771" t="s">
        <v>453</v>
      </c>
      <c r="E284" s="913" t="s">
        <v>453</v>
      </c>
      <c r="F284" s="890" t="str">
        <f t="shared" ref="F284:F296" si="311">F94</f>
        <v>N</v>
      </c>
      <c r="G284" s="890" t="str">
        <f t="shared" ref="G284:G296" si="312">G50</f>
        <v>A</v>
      </c>
      <c r="H284" s="890"/>
      <c r="I284" s="890"/>
      <c r="J284" s="890"/>
      <c r="K284" s="890"/>
      <c r="L284" s="890"/>
      <c r="M284" s="890" t="s">
        <v>453</v>
      </c>
      <c r="N284" s="890"/>
      <c r="O284" s="890"/>
      <c r="P284" s="890" t="str">
        <f t="shared" ref="P284:P296" si="313">P194</f>
        <v>N</v>
      </c>
      <c r="Q284" s="890" t="str">
        <f t="shared" ref="Q284:Q296" si="314">G284</f>
        <v>A</v>
      </c>
      <c r="R284" s="890" t="str">
        <f t="shared" ref="R284:R296" si="315">R36</f>
        <v>A</v>
      </c>
      <c r="S284" s="890" t="str">
        <f t="shared" ref="S284:S296" si="316">R284</f>
        <v>A</v>
      </c>
      <c r="T284" s="890" t="str">
        <f t="shared" ref="T284:T296" si="317">R284</f>
        <v>A</v>
      </c>
      <c r="U284" s="890" t="str">
        <f t="shared" ref="U284:U296" si="318">G284</f>
        <v>A</v>
      </c>
      <c r="V284" s="890" t="str">
        <f t="shared" ref="V284:W295" si="319">V7</f>
        <v>A</v>
      </c>
      <c r="W284" s="890" t="str">
        <f t="shared" si="319"/>
        <v>A</v>
      </c>
      <c r="X284" s="890" t="str">
        <f t="shared" ref="X284:X296" si="320">G284</f>
        <v>A</v>
      </c>
      <c r="Y284" s="890" t="str">
        <f t="shared" ref="Y284:Y296" si="321">R284</f>
        <v>A</v>
      </c>
      <c r="Z284" s="890" t="str">
        <f t="shared" ref="Z284:Z296" si="322">R284</f>
        <v>A</v>
      </c>
      <c r="AA284" s="890" t="str">
        <f t="shared" ref="AA284:AA296" si="323">$V284</f>
        <v>A</v>
      </c>
      <c r="AB284" s="890" t="str">
        <f t="shared" ref="AB284:AB296" si="324">G284</f>
        <v>A</v>
      </c>
      <c r="AC284" s="890" t="str">
        <f t="shared" ref="AC284:AC296" si="325">R284</f>
        <v>A</v>
      </c>
      <c r="AD284" s="891"/>
      <c r="AE284" s="884"/>
      <c r="AF284" s="885"/>
      <c r="AG284" s="886"/>
      <c r="AH284" s="887"/>
      <c r="AI284" s="888"/>
      <c r="AK284" s="252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</row>
    <row r="285" spans="2:51" x14ac:dyDescent="0.3">
      <c r="B285" s="1151"/>
      <c r="C285" s="766" t="s">
        <v>411</v>
      </c>
      <c r="D285" s="889" t="s">
        <v>453</v>
      </c>
      <c r="E285" s="914" t="s">
        <v>453</v>
      </c>
      <c r="F285" s="890" t="str">
        <f t="shared" si="311"/>
        <v>N</v>
      </c>
      <c r="G285" s="890" t="str">
        <f t="shared" si="312"/>
        <v>N</v>
      </c>
      <c r="H285" s="890"/>
      <c r="I285" s="890"/>
      <c r="J285" s="890"/>
      <c r="K285" s="890"/>
      <c r="L285" s="890"/>
      <c r="M285" s="890" t="s">
        <v>453</v>
      </c>
      <c r="N285" s="890"/>
      <c r="O285" s="890"/>
      <c r="P285" s="890" t="str">
        <f t="shared" si="313"/>
        <v>N</v>
      </c>
      <c r="Q285" s="890" t="str">
        <f t="shared" si="314"/>
        <v>N</v>
      </c>
      <c r="R285" s="890" t="str">
        <f t="shared" si="315"/>
        <v>N</v>
      </c>
      <c r="S285" s="890" t="str">
        <f t="shared" si="316"/>
        <v>N</v>
      </c>
      <c r="T285" s="890" t="str">
        <f t="shared" si="317"/>
        <v>N</v>
      </c>
      <c r="U285" s="890" t="str">
        <f t="shared" si="318"/>
        <v>N</v>
      </c>
      <c r="V285" s="890" t="str">
        <f t="shared" si="319"/>
        <v>N</v>
      </c>
      <c r="W285" s="890" t="str">
        <f t="shared" si="319"/>
        <v>N</v>
      </c>
      <c r="X285" s="890" t="str">
        <f t="shared" si="320"/>
        <v>N</v>
      </c>
      <c r="Y285" s="890" t="str">
        <f t="shared" si="321"/>
        <v>N</v>
      </c>
      <c r="Z285" s="890" t="str">
        <f t="shared" si="322"/>
        <v>N</v>
      </c>
      <c r="AA285" s="890" t="str">
        <f t="shared" si="323"/>
        <v>N</v>
      </c>
      <c r="AB285" s="890" t="str">
        <f t="shared" si="324"/>
        <v>N</v>
      </c>
      <c r="AC285" s="890" t="str">
        <f t="shared" si="325"/>
        <v>N</v>
      </c>
      <c r="AD285" s="891"/>
      <c r="AE285" s="884"/>
      <c r="AF285" s="885"/>
      <c r="AG285" s="886"/>
      <c r="AH285" s="887"/>
      <c r="AI285" s="888"/>
      <c r="AK285" s="252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</row>
    <row r="286" spans="2:51" x14ac:dyDescent="0.3">
      <c r="B286" s="1151"/>
      <c r="C286" s="766" t="s">
        <v>413</v>
      </c>
      <c r="D286" s="889" t="s">
        <v>453</v>
      </c>
      <c r="E286" s="914" t="s">
        <v>453</v>
      </c>
      <c r="F286" s="890" t="str">
        <f t="shared" si="311"/>
        <v>N</v>
      </c>
      <c r="G286" s="890" t="str">
        <f t="shared" si="312"/>
        <v>N</v>
      </c>
      <c r="H286" s="890"/>
      <c r="I286" s="890"/>
      <c r="J286" s="890"/>
      <c r="K286" s="890"/>
      <c r="L286" s="890"/>
      <c r="M286" s="890" t="s">
        <v>453</v>
      </c>
      <c r="N286" s="890"/>
      <c r="O286" s="890"/>
      <c r="P286" s="890" t="str">
        <f t="shared" si="313"/>
        <v>N</v>
      </c>
      <c r="Q286" s="890" t="str">
        <f t="shared" si="314"/>
        <v>N</v>
      </c>
      <c r="R286" s="890" t="str">
        <f t="shared" si="315"/>
        <v>N</v>
      </c>
      <c r="S286" s="890" t="str">
        <f t="shared" si="316"/>
        <v>N</v>
      </c>
      <c r="T286" s="890" t="str">
        <f t="shared" si="317"/>
        <v>N</v>
      </c>
      <c r="U286" s="890" t="str">
        <f t="shared" si="318"/>
        <v>N</v>
      </c>
      <c r="V286" s="890" t="str">
        <f t="shared" si="319"/>
        <v>N</v>
      </c>
      <c r="W286" s="890" t="str">
        <f t="shared" si="319"/>
        <v>N</v>
      </c>
      <c r="X286" s="890" t="str">
        <f t="shared" si="320"/>
        <v>N</v>
      </c>
      <c r="Y286" s="890" t="str">
        <f t="shared" si="321"/>
        <v>N</v>
      </c>
      <c r="Z286" s="890" t="str">
        <f t="shared" si="322"/>
        <v>N</v>
      </c>
      <c r="AA286" s="890" t="str">
        <f t="shared" si="323"/>
        <v>N</v>
      </c>
      <c r="AB286" s="890" t="str">
        <f t="shared" si="324"/>
        <v>N</v>
      </c>
      <c r="AC286" s="890" t="str">
        <f t="shared" si="325"/>
        <v>N</v>
      </c>
      <c r="AD286" s="891"/>
      <c r="AE286" s="884"/>
      <c r="AF286" s="885"/>
      <c r="AG286" s="886"/>
      <c r="AH286" s="887"/>
      <c r="AI286" s="888"/>
      <c r="AK286" s="252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</row>
    <row r="287" spans="2:51" x14ac:dyDescent="0.3">
      <c r="B287" s="1151"/>
      <c r="C287" s="766" t="s">
        <v>415</v>
      </c>
      <c r="D287" s="892" t="s">
        <v>453</v>
      </c>
      <c r="E287" s="913" t="s">
        <v>453</v>
      </c>
      <c r="F287" s="890" t="str">
        <f t="shared" si="311"/>
        <v>N</v>
      </c>
      <c r="G287" s="890" t="str">
        <f t="shared" si="312"/>
        <v>N</v>
      </c>
      <c r="H287" s="890"/>
      <c r="I287" s="890"/>
      <c r="J287" s="890"/>
      <c r="K287" s="890"/>
      <c r="L287" s="890"/>
      <c r="M287" s="890" t="s">
        <v>453</v>
      </c>
      <c r="N287" s="890"/>
      <c r="O287" s="890"/>
      <c r="P287" s="890" t="str">
        <f t="shared" si="313"/>
        <v>N</v>
      </c>
      <c r="Q287" s="890" t="str">
        <f t="shared" si="314"/>
        <v>N</v>
      </c>
      <c r="R287" s="890" t="str">
        <f t="shared" si="315"/>
        <v>N</v>
      </c>
      <c r="S287" s="890" t="str">
        <f t="shared" si="316"/>
        <v>N</v>
      </c>
      <c r="T287" s="890" t="str">
        <f t="shared" si="317"/>
        <v>N</v>
      </c>
      <c r="U287" s="890" t="str">
        <f t="shared" si="318"/>
        <v>N</v>
      </c>
      <c r="V287" s="890" t="str">
        <f t="shared" si="319"/>
        <v>N</v>
      </c>
      <c r="W287" s="890" t="str">
        <f t="shared" si="319"/>
        <v>N</v>
      </c>
      <c r="X287" s="890" t="str">
        <f t="shared" si="320"/>
        <v>N</v>
      </c>
      <c r="Y287" s="890" t="str">
        <f t="shared" si="321"/>
        <v>N</v>
      </c>
      <c r="Z287" s="890" t="str">
        <f t="shared" si="322"/>
        <v>N</v>
      </c>
      <c r="AA287" s="890" t="str">
        <f t="shared" si="323"/>
        <v>N</v>
      </c>
      <c r="AB287" s="890" t="str">
        <f t="shared" si="324"/>
        <v>N</v>
      </c>
      <c r="AC287" s="890" t="str">
        <f t="shared" si="325"/>
        <v>N</v>
      </c>
      <c r="AD287" s="891"/>
      <c r="AE287" s="884"/>
      <c r="AF287" s="885"/>
      <c r="AG287" s="886"/>
      <c r="AH287" s="887"/>
      <c r="AI287" s="888"/>
      <c r="AK287" s="252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</row>
    <row r="288" spans="2:51" x14ac:dyDescent="0.3">
      <c r="B288" s="1151"/>
      <c r="C288" s="766" t="s">
        <v>417</v>
      </c>
      <c r="D288" s="892" t="s">
        <v>453</v>
      </c>
      <c r="E288" s="913" t="s">
        <v>453</v>
      </c>
      <c r="F288" s="890" t="str">
        <f t="shared" si="311"/>
        <v>N</v>
      </c>
      <c r="G288" s="890" t="str">
        <f t="shared" si="312"/>
        <v>A</v>
      </c>
      <c r="H288" s="890"/>
      <c r="I288" s="890"/>
      <c r="J288" s="890"/>
      <c r="K288" s="890"/>
      <c r="L288" s="890"/>
      <c r="M288" s="890" t="s">
        <v>453</v>
      </c>
      <c r="N288" s="890"/>
      <c r="O288" s="890"/>
      <c r="P288" s="890" t="str">
        <f t="shared" si="313"/>
        <v>N</v>
      </c>
      <c r="Q288" s="890" t="str">
        <f t="shared" si="314"/>
        <v>A</v>
      </c>
      <c r="R288" s="890" t="str">
        <f t="shared" si="315"/>
        <v>A</v>
      </c>
      <c r="S288" s="890" t="str">
        <f t="shared" si="316"/>
        <v>A</v>
      </c>
      <c r="T288" s="890" t="str">
        <f t="shared" si="317"/>
        <v>A</v>
      </c>
      <c r="U288" s="890" t="str">
        <f t="shared" si="318"/>
        <v>A</v>
      </c>
      <c r="V288" s="890" t="str">
        <f t="shared" si="319"/>
        <v>A</v>
      </c>
      <c r="W288" s="890" t="str">
        <f t="shared" si="319"/>
        <v>A</v>
      </c>
      <c r="X288" s="890" t="str">
        <f t="shared" si="320"/>
        <v>A</v>
      </c>
      <c r="Y288" s="890" t="str">
        <f t="shared" si="321"/>
        <v>A</v>
      </c>
      <c r="Z288" s="890" t="str">
        <f t="shared" si="322"/>
        <v>A</v>
      </c>
      <c r="AA288" s="890" t="str">
        <f t="shared" si="323"/>
        <v>A</v>
      </c>
      <c r="AB288" s="890" t="str">
        <f t="shared" si="324"/>
        <v>A</v>
      </c>
      <c r="AC288" s="890" t="str">
        <f t="shared" si="325"/>
        <v>A</v>
      </c>
      <c r="AD288" s="891"/>
      <c r="AE288" s="884"/>
      <c r="AF288" s="885"/>
      <c r="AG288" s="886"/>
      <c r="AH288" s="887"/>
      <c r="AI288" s="888"/>
      <c r="AK288" s="252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</row>
    <row r="289" spans="2:51" x14ac:dyDescent="0.3">
      <c r="B289" s="1151"/>
      <c r="C289" s="766" t="s">
        <v>419</v>
      </c>
      <c r="D289" s="892" t="s">
        <v>453</v>
      </c>
      <c r="E289" s="913" t="s">
        <v>453</v>
      </c>
      <c r="F289" s="890" t="str">
        <f t="shared" si="311"/>
        <v>N</v>
      </c>
      <c r="G289" s="890" t="str">
        <f t="shared" si="312"/>
        <v>A</v>
      </c>
      <c r="H289" s="890"/>
      <c r="I289" s="890"/>
      <c r="J289" s="890"/>
      <c r="K289" s="890"/>
      <c r="L289" s="890"/>
      <c r="M289" s="890" t="s">
        <v>453</v>
      </c>
      <c r="N289" s="890"/>
      <c r="O289" s="890"/>
      <c r="P289" s="890" t="str">
        <f t="shared" si="313"/>
        <v>N</v>
      </c>
      <c r="Q289" s="890" t="str">
        <f t="shared" si="314"/>
        <v>A</v>
      </c>
      <c r="R289" s="890" t="str">
        <f t="shared" si="315"/>
        <v>A</v>
      </c>
      <c r="S289" s="890" t="str">
        <f t="shared" si="316"/>
        <v>A</v>
      </c>
      <c r="T289" s="890" t="str">
        <f t="shared" si="317"/>
        <v>A</v>
      </c>
      <c r="U289" s="890" t="str">
        <f t="shared" si="318"/>
        <v>A</v>
      </c>
      <c r="V289" s="890" t="str">
        <f t="shared" si="319"/>
        <v>A</v>
      </c>
      <c r="W289" s="890" t="str">
        <f t="shared" si="319"/>
        <v>A</v>
      </c>
      <c r="X289" s="890" t="str">
        <f t="shared" si="320"/>
        <v>A</v>
      </c>
      <c r="Y289" s="890" t="str">
        <f t="shared" si="321"/>
        <v>A</v>
      </c>
      <c r="Z289" s="890" t="str">
        <f t="shared" si="322"/>
        <v>A</v>
      </c>
      <c r="AA289" s="890" t="str">
        <f t="shared" si="323"/>
        <v>A</v>
      </c>
      <c r="AB289" s="890" t="str">
        <f t="shared" si="324"/>
        <v>A</v>
      </c>
      <c r="AC289" s="890" t="str">
        <f t="shared" si="325"/>
        <v>A</v>
      </c>
      <c r="AD289" s="891"/>
      <c r="AE289" s="884"/>
      <c r="AF289" s="885"/>
      <c r="AG289" s="886"/>
      <c r="AH289" s="887"/>
      <c r="AI289" s="888"/>
      <c r="AK289" s="252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</row>
    <row r="290" spans="2:51" x14ac:dyDescent="0.3">
      <c r="B290" s="1151"/>
      <c r="C290" s="766" t="s">
        <v>421</v>
      </c>
      <c r="D290" s="892" t="s">
        <v>453</v>
      </c>
      <c r="E290" s="913" t="s">
        <v>453</v>
      </c>
      <c r="F290" s="890" t="str">
        <f t="shared" si="311"/>
        <v>N</v>
      </c>
      <c r="G290" s="890" t="str">
        <f t="shared" si="312"/>
        <v>A</v>
      </c>
      <c r="H290" s="890"/>
      <c r="I290" s="890"/>
      <c r="J290" s="890"/>
      <c r="K290" s="890"/>
      <c r="L290" s="890"/>
      <c r="M290" s="890" t="s">
        <v>453</v>
      </c>
      <c r="N290" s="890"/>
      <c r="O290" s="890"/>
      <c r="P290" s="890" t="str">
        <f t="shared" si="313"/>
        <v>N</v>
      </c>
      <c r="Q290" s="890" t="str">
        <f t="shared" si="314"/>
        <v>A</v>
      </c>
      <c r="R290" s="890" t="str">
        <f t="shared" si="315"/>
        <v>N</v>
      </c>
      <c r="S290" s="890" t="str">
        <f t="shared" si="316"/>
        <v>N</v>
      </c>
      <c r="T290" s="890" t="str">
        <f t="shared" si="317"/>
        <v>N</v>
      </c>
      <c r="U290" s="890" t="str">
        <f t="shared" si="318"/>
        <v>A</v>
      </c>
      <c r="V290" s="890" t="str">
        <f t="shared" si="319"/>
        <v>A</v>
      </c>
      <c r="W290" s="890" t="str">
        <f t="shared" si="319"/>
        <v>A</v>
      </c>
      <c r="X290" s="890" t="str">
        <f t="shared" si="320"/>
        <v>A</v>
      </c>
      <c r="Y290" s="890" t="str">
        <f t="shared" si="321"/>
        <v>N</v>
      </c>
      <c r="Z290" s="890" t="str">
        <f t="shared" si="322"/>
        <v>N</v>
      </c>
      <c r="AA290" s="890" t="str">
        <f t="shared" si="323"/>
        <v>A</v>
      </c>
      <c r="AB290" s="890" t="str">
        <f t="shared" si="324"/>
        <v>A</v>
      </c>
      <c r="AC290" s="890" t="str">
        <f t="shared" si="325"/>
        <v>N</v>
      </c>
      <c r="AD290" s="891"/>
      <c r="AE290" s="884"/>
      <c r="AF290" s="885"/>
      <c r="AG290" s="886"/>
      <c r="AH290" s="887"/>
      <c r="AI290" s="888"/>
      <c r="AK290" s="252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</row>
    <row r="291" spans="2:51" x14ac:dyDescent="0.3">
      <c r="B291" s="1151"/>
      <c r="C291" s="766" t="s">
        <v>423</v>
      </c>
      <c r="D291" s="892" t="s">
        <v>453</v>
      </c>
      <c r="E291" s="913" t="s">
        <v>453</v>
      </c>
      <c r="F291" s="890" t="str">
        <f t="shared" si="311"/>
        <v>N</v>
      </c>
      <c r="G291" s="890" t="str">
        <f t="shared" si="312"/>
        <v>A</v>
      </c>
      <c r="H291" s="890"/>
      <c r="I291" s="890"/>
      <c r="J291" s="890"/>
      <c r="K291" s="890"/>
      <c r="L291" s="890"/>
      <c r="M291" s="890" t="s">
        <v>453</v>
      </c>
      <c r="N291" s="890"/>
      <c r="O291" s="890"/>
      <c r="P291" s="890" t="str">
        <f t="shared" si="313"/>
        <v>N</v>
      </c>
      <c r="Q291" s="890" t="str">
        <f t="shared" si="314"/>
        <v>A</v>
      </c>
      <c r="R291" s="890" t="str">
        <f t="shared" si="315"/>
        <v>N</v>
      </c>
      <c r="S291" s="890" t="str">
        <f t="shared" si="316"/>
        <v>N</v>
      </c>
      <c r="T291" s="890" t="str">
        <f t="shared" si="317"/>
        <v>N</v>
      </c>
      <c r="U291" s="890" t="str">
        <f t="shared" si="318"/>
        <v>A</v>
      </c>
      <c r="V291" s="890" t="str">
        <f t="shared" si="319"/>
        <v>A</v>
      </c>
      <c r="W291" s="890" t="str">
        <f t="shared" si="319"/>
        <v>A</v>
      </c>
      <c r="X291" s="890" t="str">
        <f t="shared" si="320"/>
        <v>A</v>
      </c>
      <c r="Y291" s="890" t="str">
        <f t="shared" si="321"/>
        <v>N</v>
      </c>
      <c r="Z291" s="890" t="str">
        <f t="shared" si="322"/>
        <v>N</v>
      </c>
      <c r="AA291" s="890" t="str">
        <f t="shared" si="323"/>
        <v>A</v>
      </c>
      <c r="AB291" s="890" t="str">
        <f t="shared" si="324"/>
        <v>A</v>
      </c>
      <c r="AC291" s="890" t="str">
        <f t="shared" si="325"/>
        <v>N</v>
      </c>
      <c r="AD291" s="891"/>
      <c r="AE291" s="884"/>
      <c r="AF291" s="885"/>
      <c r="AG291" s="886"/>
      <c r="AH291" s="887"/>
      <c r="AI291" s="888"/>
      <c r="AK291" s="252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</row>
    <row r="292" spans="2:51" x14ac:dyDescent="0.3">
      <c r="B292" s="1151"/>
      <c r="C292" s="766" t="s">
        <v>425</v>
      </c>
      <c r="D292" s="892" t="s">
        <v>453</v>
      </c>
      <c r="E292" s="913" t="s">
        <v>453</v>
      </c>
      <c r="F292" s="890" t="str">
        <f t="shared" si="311"/>
        <v>N</v>
      </c>
      <c r="G292" s="890" t="str">
        <f t="shared" si="312"/>
        <v>N</v>
      </c>
      <c r="H292" s="890"/>
      <c r="I292" s="890"/>
      <c r="J292" s="890"/>
      <c r="K292" s="890"/>
      <c r="L292" s="890"/>
      <c r="M292" s="890" t="s">
        <v>453</v>
      </c>
      <c r="N292" s="890"/>
      <c r="O292" s="890"/>
      <c r="P292" s="890" t="str">
        <f t="shared" si="313"/>
        <v>N</v>
      </c>
      <c r="Q292" s="890" t="str">
        <f t="shared" si="314"/>
        <v>N</v>
      </c>
      <c r="R292" s="890" t="str">
        <f t="shared" si="315"/>
        <v>N</v>
      </c>
      <c r="S292" s="890" t="str">
        <f t="shared" si="316"/>
        <v>N</v>
      </c>
      <c r="T292" s="890" t="str">
        <f t="shared" si="317"/>
        <v>N</v>
      </c>
      <c r="U292" s="890" t="str">
        <f t="shared" si="318"/>
        <v>N</v>
      </c>
      <c r="V292" s="890" t="str">
        <f t="shared" si="319"/>
        <v>A</v>
      </c>
      <c r="W292" s="890" t="str">
        <f t="shared" si="319"/>
        <v>N</v>
      </c>
      <c r="X292" s="890" t="str">
        <f t="shared" si="320"/>
        <v>N</v>
      </c>
      <c r="Y292" s="890" t="str">
        <f t="shared" si="321"/>
        <v>N</v>
      </c>
      <c r="Z292" s="890" t="str">
        <f t="shared" si="322"/>
        <v>N</v>
      </c>
      <c r="AA292" s="890" t="str">
        <f t="shared" si="323"/>
        <v>A</v>
      </c>
      <c r="AB292" s="890" t="str">
        <f t="shared" si="324"/>
        <v>N</v>
      </c>
      <c r="AC292" s="890" t="str">
        <f t="shared" si="325"/>
        <v>N</v>
      </c>
      <c r="AD292" s="891"/>
      <c r="AE292" s="884"/>
      <c r="AF292" s="885"/>
      <c r="AG292" s="886"/>
      <c r="AH292" s="887"/>
      <c r="AI292" s="888"/>
      <c r="AK292" s="252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</row>
    <row r="293" spans="2:51" x14ac:dyDescent="0.3">
      <c r="B293" s="1151"/>
      <c r="C293" s="766" t="s">
        <v>427</v>
      </c>
      <c r="D293" s="892" t="s">
        <v>453</v>
      </c>
      <c r="E293" s="913" t="s">
        <v>453</v>
      </c>
      <c r="F293" s="890" t="str">
        <f t="shared" si="311"/>
        <v>N</v>
      </c>
      <c r="G293" s="890" t="str">
        <f t="shared" si="312"/>
        <v>A</v>
      </c>
      <c r="H293" s="890"/>
      <c r="I293" s="890"/>
      <c r="J293" s="890"/>
      <c r="K293" s="890"/>
      <c r="L293" s="890"/>
      <c r="M293" s="890" t="s">
        <v>453</v>
      </c>
      <c r="N293" s="890"/>
      <c r="O293" s="890"/>
      <c r="P293" s="890" t="str">
        <f t="shared" si="313"/>
        <v>N</v>
      </c>
      <c r="Q293" s="890" t="str">
        <f t="shared" si="314"/>
        <v>A</v>
      </c>
      <c r="R293" s="890" t="str">
        <f t="shared" si="315"/>
        <v>A</v>
      </c>
      <c r="S293" s="890" t="str">
        <f t="shared" si="316"/>
        <v>A</v>
      </c>
      <c r="T293" s="890" t="str">
        <f t="shared" si="317"/>
        <v>A</v>
      </c>
      <c r="U293" s="890" t="str">
        <f t="shared" si="318"/>
        <v>A</v>
      </c>
      <c r="V293" s="890" t="str">
        <f t="shared" si="319"/>
        <v>A</v>
      </c>
      <c r="W293" s="890" t="str">
        <f t="shared" si="319"/>
        <v>A</v>
      </c>
      <c r="X293" s="890" t="str">
        <f t="shared" si="320"/>
        <v>A</v>
      </c>
      <c r="Y293" s="890" t="str">
        <f t="shared" si="321"/>
        <v>A</v>
      </c>
      <c r="Z293" s="890" t="str">
        <f t="shared" si="322"/>
        <v>A</v>
      </c>
      <c r="AA293" s="890" t="str">
        <f t="shared" si="323"/>
        <v>A</v>
      </c>
      <c r="AB293" s="890" t="str">
        <f t="shared" si="324"/>
        <v>A</v>
      </c>
      <c r="AC293" s="890" t="str">
        <f t="shared" si="325"/>
        <v>A</v>
      </c>
      <c r="AD293" s="891"/>
      <c r="AE293" s="884"/>
      <c r="AF293" s="885"/>
      <c r="AG293" s="886"/>
      <c r="AH293" s="887"/>
      <c r="AI293" s="888"/>
      <c r="AK293" s="252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</row>
    <row r="294" spans="2:51" x14ac:dyDescent="0.3">
      <c r="B294" s="1151"/>
      <c r="C294" s="766" t="s">
        <v>429</v>
      </c>
      <c r="D294" s="892" t="s">
        <v>453</v>
      </c>
      <c r="E294" s="913" t="s">
        <v>453</v>
      </c>
      <c r="F294" s="890" t="str">
        <f t="shared" si="311"/>
        <v>N</v>
      </c>
      <c r="G294" s="890" t="str">
        <f t="shared" si="312"/>
        <v>N</v>
      </c>
      <c r="H294" s="890"/>
      <c r="I294" s="890"/>
      <c r="J294" s="890"/>
      <c r="K294" s="890"/>
      <c r="L294" s="890"/>
      <c r="M294" s="890" t="s">
        <v>453</v>
      </c>
      <c r="N294" s="890"/>
      <c r="O294" s="890"/>
      <c r="P294" s="890" t="str">
        <f t="shared" si="313"/>
        <v>N</v>
      </c>
      <c r="Q294" s="890" t="str">
        <f t="shared" si="314"/>
        <v>N</v>
      </c>
      <c r="R294" s="890" t="str">
        <f t="shared" si="315"/>
        <v>N</v>
      </c>
      <c r="S294" s="890" t="str">
        <f t="shared" si="316"/>
        <v>N</v>
      </c>
      <c r="T294" s="890" t="str">
        <f t="shared" si="317"/>
        <v>N</v>
      </c>
      <c r="U294" s="890" t="str">
        <f t="shared" si="318"/>
        <v>N</v>
      </c>
      <c r="V294" s="890" t="str">
        <f t="shared" si="319"/>
        <v>N</v>
      </c>
      <c r="W294" s="890" t="str">
        <f t="shared" si="319"/>
        <v>N</v>
      </c>
      <c r="X294" s="890" t="str">
        <f t="shared" si="320"/>
        <v>N</v>
      </c>
      <c r="Y294" s="890" t="str">
        <f t="shared" si="321"/>
        <v>N</v>
      </c>
      <c r="Z294" s="890" t="str">
        <f t="shared" si="322"/>
        <v>N</v>
      </c>
      <c r="AA294" s="890" t="str">
        <f t="shared" si="323"/>
        <v>N</v>
      </c>
      <c r="AB294" s="890" t="str">
        <f t="shared" si="324"/>
        <v>N</v>
      </c>
      <c r="AC294" s="890" t="str">
        <f t="shared" si="325"/>
        <v>N</v>
      </c>
      <c r="AD294" s="891"/>
      <c r="AE294" s="884"/>
      <c r="AF294" s="885"/>
      <c r="AG294" s="886"/>
      <c r="AH294" s="887"/>
      <c r="AI294" s="888"/>
      <c r="AK294" s="252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</row>
    <row r="295" spans="2:51" x14ac:dyDescent="0.3">
      <c r="B295" s="1151"/>
      <c r="C295" s="770" t="s">
        <v>431</v>
      </c>
      <c r="D295" s="892" t="s">
        <v>453</v>
      </c>
      <c r="E295" s="913" t="s">
        <v>453</v>
      </c>
      <c r="F295" s="890" t="str">
        <f t="shared" si="311"/>
        <v>N</v>
      </c>
      <c r="G295" s="890" t="str">
        <f t="shared" si="312"/>
        <v>N</v>
      </c>
      <c r="H295" s="890"/>
      <c r="I295" s="890"/>
      <c r="J295" s="890"/>
      <c r="K295" s="890"/>
      <c r="L295" s="890"/>
      <c r="M295" s="890" t="s">
        <v>453</v>
      </c>
      <c r="N295" s="890"/>
      <c r="O295" s="890"/>
      <c r="P295" s="890" t="str">
        <f t="shared" si="313"/>
        <v>N</v>
      </c>
      <c r="Q295" s="890" t="str">
        <f t="shared" si="314"/>
        <v>N</v>
      </c>
      <c r="R295" s="890" t="str">
        <f t="shared" si="315"/>
        <v>A</v>
      </c>
      <c r="S295" s="890" t="str">
        <f t="shared" si="316"/>
        <v>A</v>
      </c>
      <c r="T295" s="890" t="str">
        <f t="shared" si="317"/>
        <v>A</v>
      </c>
      <c r="U295" s="890" t="str">
        <f t="shared" si="318"/>
        <v>N</v>
      </c>
      <c r="V295" s="890" t="str">
        <f t="shared" si="319"/>
        <v>A</v>
      </c>
      <c r="W295" s="890" t="str">
        <f t="shared" si="319"/>
        <v>N</v>
      </c>
      <c r="X295" s="890" t="str">
        <f t="shared" si="320"/>
        <v>N</v>
      </c>
      <c r="Y295" s="890" t="str">
        <f t="shared" si="321"/>
        <v>A</v>
      </c>
      <c r="Z295" s="890" t="str">
        <f t="shared" si="322"/>
        <v>A</v>
      </c>
      <c r="AA295" s="890" t="str">
        <f t="shared" si="323"/>
        <v>A</v>
      </c>
      <c r="AB295" s="890" t="str">
        <f t="shared" si="324"/>
        <v>N</v>
      </c>
      <c r="AC295" s="890" t="str">
        <f t="shared" si="325"/>
        <v>A</v>
      </c>
      <c r="AD295" s="891"/>
      <c r="AE295" s="884"/>
      <c r="AF295" s="885"/>
      <c r="AG295" s="886"/>
      <c r="AH295" s="887"/>
      <c r="AI295" s="888"/>
      <c r="AK295" s="252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</row>
    <row r="296" spans="2:51" x14ac:dyDescent="0.3">
      <c r="B296" s="893"/>
      <c r="C296" s="894" t="s">
        <v>461</v>
      </c>
      <c r="D296" s="915">
        <v>0</v>
      </c>
      <c r="E296" s="896">
        <v>0</v>
      </c>
      <c r="F296" s="897">
        <f t="shared" si="311"/>
        <v>0</v>
      </c>
      <c r="G296" s="897">
        <f t="shared" si="312"/>
        <v>0.25</v>
      </c>
      <c r="H296" s="897"/>
      <c r="I296" s="897"/>
      <c r="J296" s="897"/>
      <c r="K296" s="897"/>
      <c r="L296" s="897"/>
      <c r="M296" s="897">
        <v>0</v>
      </c>
      <c r="N296" s="897"/>
      <c r="O296" s="897"/>
      <c r="P296" s="897">
        <f t="shared" si="313"/>
        <v>0</v>
      </c>
      <c r="Q296" s="897">
        <f t="shared" si="314"/>
        <v>0.25</v>
      </c>
      <c r="R296" s="897">
        <f t="shared" si="315"/>
        <v>0.2</v>
      </c>
      <c r="S296" s="897">
        <f t="shared" si="316"/>
        <v>0.2</v>
      </c>
      <c r="T296" s="897">
        <f t="shared" si="317"/>
        <v>0.2</v>
      </c>
      <c r="U296" s="897">
        <f t="shared" si="318"/>
        <v>0.25</v>
      </c>
      <c r="V296" s="897">
        <f t="shared" ref="V296:W296" si="326">V20</f>
        <v>0.35</v>
      </c>
      <c r="W296" s="897">
        <f t="shared" si="326"/>
        <v>0.25</v>
      </c>
      <c r="X296" s="897">
        <f t="shared" si="320"/>
        <v>0.25</v>
      </c>
      <c r="Y296" s="897">
        <f t="shared" si="321"/>
        <v>0.2</v>
      </c>
      <c r="Z296" s="897">
        <f t="shared" si="322"/>
        <v>0.2</v>
      </c>
      <c r="AA296" s="897">
        <f t="shared" si="323"/>
        <v>0.35</v>
      </c>
      <c r="AB296" s="897">
        <f t="shared" si="324"/>
        <v>0.25</v>
      </c>
      <c r="AC296" s="897">
        <f t="shared" si="325"/>
        <v>0.2</v>
      </c>
      <c r="AD296" s="898"/>
      <c r="AE296" s="899"/>
      <c r="AF296" s="900"/>
      <c r="AG296" s="901"/>
      <c r="AH296" s="901"/>
      <c r="AI296" s="902"/>
      <c r="AK296" s="252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</row>
    <row r="297" spans="2:51" x14ac:dyDescent="0.3">
      <c r="B297" s="849"/>
      <c r="C297" s="850" t="s">
        <v>535</v>
      </c>
      <c r="D297" s="851"/>
      <c r="E297" s="851"/>
      <c r="F297" s="851"/>
      <c r="G297" s="852"/>
      <c r="H297" s="852"/>
      <c r="I297" s="852"/>
      <c r="J297" s="852"/>
      <c r="K297" s="852"/>
      <c r="L297" s="852"/>
      <c r="M297" s="852"/>
      <c r="N297" s="852"/>
      <c r="O297" s="852"/>
      <c r="P297" s="852"/>
      <c r="Q297" s="852"/>
      <c r="R297" s="852"/>
      <c r="S297" s="852"/>
      <c r="T297" s="852"/>
      <c r="U297" s="852"/>
      <c r="V297" s="852"/>
      <c r="W297" s="852"/>
      <c r="X297" s="852"/>
      <c r="Y297" s="852"/>
      <c r="Z297" s="852"/>
      <c r="AA297" s="852"/>
      <c r="AB297" s="852"/>
      <c r="AC297" s="852"/>
      <c r="AD297" s="916"/>
      <c r="AE297" s="917"/>
      <c r="AF297" s="918">
        <f>'Procesy - AS IS'!AG76/(1+$AE282)-'Procesy - AS IS'!AG76</f>
        <v>0</v>
      </c>
      <c r="AG297" s="919">
        <f>'Procesy - AS IS'!AH76/(1+$AE282)-'Procesy - AS IS'!AH76</f>
        <v>0</v>
      </c>
      <c r="AH297" s="919">
        <f>'Procesy - AS IS'!AI76/(1+$AE282)-'Procesy - AS IS'!AI76</f>
        <v>0</v>
      </c>
      <c r="AI297" s="920">
        <f>'Procesy - AS IS'!AJ76/(1+$AE282)-'Procesy - AS IS'!AJ76</f>
        <v>0</v>
      </c>
      <c r="AK297" s="252"/>
      <c r="AL297" s="254"/>
      <c r="AM297" s="254"/>
      <c r="AN297" s="254"/>
      <c r="AO297" s="254"/>
      <c r="AP297" s="254"/>
      <c r="AQ297" s="254"/>
      <c r="AR297" s="254"/>
      <c r="AS297" s="254"/>
      <c r="AT297" s="254"/>
      <c r="AU297" s="254"/>
      <c r="AV297" s="254"/>
      <c r="AW297" s="254"/>
      <c r="AX297" s="254"/>
      <c r="AY297" s="254"/>
    </row>
    <row r="298" spans="2:51" ht="15" thickBot="1" x14ac:dyDescent="0.35">
      <c r="B298" s="921"/>
      <c r="C298" s="922"/>
      <c r="D298" s="923"/>
      <c r="E298" s="924"/>
      <c r="F298" s="924"/>
      <c r="G298" s="925"/>
      <c r="H298" s="925"/>
      <c r="I298" s="925"/>
      <c r="J298" s="925"/>
      <c r="K298" s="925"/>
      <c r="L298" s="925"/>
      <c r="M298" s="925"/>
      <c r="N298" s="925"/>
      <c r="O298" s="925"/>
      <c r="P298" s="925"/>
      <c r="Q298" s="925"/>
      <c r="R298" s="925"/>
      <c r="S298" s="925"/>
      <c r="T298" s="925"/>
      <c r="U298" s="925"/>
      <c r="V298" s="925"/>
      <c r="W298" s="925"/>
      <c r="X298" s="925"/>
      <c r="Y298" s="925"/>
      <c r="Z298" s="925"/>
      <c r="AA298" s="925"/>
      <c r="AB298" s="925"/>
      <c r="AC298" s="924"/>
      <c r="AD298" s="926"/>
      <c r="AE298" s="927"/>
      <c r="AF298" s="928"/>
      <c r="AG298" s="928"/>
      <c r="AH298" s="928"/>
      <c r="AI298" s="929"/>
      <c r="AK298" s="252"/>
      <c r="AL298" s="254"/>
      <c r="AM298" s="254"/>
      <c r="AN298" s="254"/>
      <c r="AO298" s="254"/>
      <c r="AP298" s="254"/>
      <c r="AQ298" s="254"/>
      <c r="AR298" s="254"/>
      <c r="AS298" s="254"/>
      <c r="AT298" s="254"/>
      <c r="AU298" s="254"/>
      <c r="AV298" s="254"/>
      <c r="AW298" s="254"/>
      <c r="AX298" s="254"/>
      <c r="AY298" s="254"/>
    </row>
    <row r="300" spans="2:51" x14ac:dyDescent="0.3">
      <c r="B300" s="105" t="s">
        <v>463</v>
      </c>
    </row>
    <row r="301" spans="2:51" x14ac:dyDescent="0.3">
      <c r="B301" t="s">
        <v>583</v>
      </c>
      <c r="F301" s="782">
        <v>0</v>
      </c>
    </row>
    <row r="302" spans="2:51" x14ac:dyDescent="0.3">
      <c r="B302" t="s">
        <v>327</v>
      </c>
      <c r="F302" s="782">
        <f>'Počet inšpektorov'!$C$8</f>
        <v>111</v>
      </c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2:51" x14ac:dyDescent="0.3">
      <c r="B303" t="s">
        <v>586</v>
      </c>
      <c r="F303" s="783">
        <f>F301/F302</f>
        <v>0</v>
      </c>
      <c r="AF303" s="950">
        <f>('Procesy - AS IS'!AG4+'Procesy - ∆'!AF4)*$F303</f>
        <v>0</v>
      </c>
      <c r="AG303" s="950">
        <f>('Procesy - AS IS'!AH4+'Procesy - ∆'!AG4)*$F303</f>
        <v>0</v>
      </c>
      <c r="AH303" s="950">
        <f>('Procesy - AS IS'!AI4+'Procesy - ∆'!AH4)*$F303</f>
        <v>0</v>
      </c>
      <c r="AI303" s="950">
        <f>('Procesy - AS IS'!AJ4+'Procesy - ∆'!AI4)*$F303</f>
        <v>0</v>
      </c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2:51" x14ac:dyDescent="0.3">
      <c r="B304" s="105" t="s">
        <v>471</v>
      </c>
      <c r="AF304" s="951">
        <f>AF4+AF303</f>
        <v>665.05620096220764</v>
      </c>
      <c r="AG304" s="951">
        <f>AG4+AG303</f>
        <v>228.76562501970398</v>
      </c>
      <c r="AH304" s="951">
        <f>AH4+AH303</f>
        <v>148.64710059302479</v>
      </c>
      <c r="AI304" s="951">
        <f>AI4+AI303</f>
        <v>24.54800942458829</v>
      </c>
    </row>
    <row r="305" spans="2:34" x14ac:dyDescent="0.3">
      <c r="AF305" s="962">
        <f>AF304/'Procesy - AS IS'!AG4</f>
        <v>0.25011515643558013</v>
      </c>
    </row>
    <row r="307" spans="2:34" x14ac:dyDescent="0.3">
      <c r="B307" s="105" t="s">
        <v>570</v>
      </c>
      <c r="C307" s="105"/>
      <c r="D307" s="800"/>
      <c r="E307" s="800"/>
      <c r="F307" s="800"/>
      <c r="G307" s="800"/>
      <c r="H307" s="800"/>
      <c r="I307" s="800"/>
      <c r="J307" s="800"/>
      <c r="K307" s="800"/>
      <c r="L307" s="800"/>
      <c r="M307" s="800"/>
      <c r="N307" s="800"/>
      <c r="O307" s="800"/>
      <c r="P307" s="800"/>
      <c r="Q307" s="800"/>
      <c r="R307" s="800"/>
      <c r="S307" s="800"/>
      <c r="T307" s="800"/>
      <c r="U307" s="800"/>
      <c r="V307" s="800"/>
      <c r="W307" s="800"/>
      <c r="X307" s="800"/>
      <c r="Y307" s="800"/>
      <c r="Z307" s="800"/>
      <c r="AA307" s="800"/>
      <c r="AB307" s="800"/>
      <c r="AC307" s="800"/>
      <c r="AD307" s="800"/>
      <c r="AE307" s="800"/>
      <c r="AF307" s="801">
        <f>AF304*'Procesy - AS IS'!AG81</f>
        <v>347130.04341515066</v>
      </c>
      <c r="AG307" s="801">
        <f>AG304*'Procesy - AS IS'!AH81</f>
        <v>352777.15218455193</v>
      </c>
      <c r="AH307" s="801">
        <f>AH304*'Procesy - AS IS'!AI81</f>
        <v>353261.07667893107</v>
      </c>
    </row>
    <row r="308" spans="2:34" x14ac:dyDescent="0.3">
      <c r="AH308" s="782" t="s">
        <v>473</v>
      </c>
    </row>
    <row r="310" spans="2:34" x14ac:dyDescent="0.3">
      <c r="AE310" s="803" t="s">
        <v>475</v>
      </c>
      <c r="AF310" s="806">
        <v>0</v>
      </c>
      <c r="AG310" s="806">
        <f>AF310</f>
        <v>0</v>
      </c>
      <c r="AH310" s="806">
        <f>AF310</f>
        <v>0</v>
      </c>
    </row>
  </sheetData>
  <mergeCells count="20">
    <mergeCell ref="B254:B265"/>
    <mergeCell ref="B268:B279"/>
    <mergeCell ref="B284:B295"/>
    <mergeCell ref="B180:B191"/>
    <mergeCell ref="B194:B205"/>
    <mergeCell ref="B210:B221"/>
    <mergeCell ref="B224:B235"/>
    <mergeCell ref="B240:B251"/>
    <mergeCell ref="B108:B119"/>
    <mergeCell ref="B122:B133"/>
    <mergeCell ref="B138:B149"/>
    <mergeCell ref="B152:B163"/>
    <mergeCell ref="B166:B177"/>
    <mergeCell ref="B80:B91"/>
    <mergeCell ref="B94:B105"/>
    <mergeCell ref="B7:B18"/>
    <mergeCell ref="B22:B33"/>
    <mergeCell ref="B36:B47"/>
    <mergeCell ref="B50:B61"/>
    <mergeCell ref="B66:B77"/>
  </mergeCells>
  <conditionalFormatting sqref="AC281:AE281">
    <cfRule type="cellIs" dxfId="273" priority="33" operator="equal">
      <formula>"N"</formula>
    </cfRule>
    <cfRule type="cellIs" dxfId="272" priority="34" operator="equal">
      <formula>"A"</formula>
    </cfRule>
  </conditionalFormatting>
  <conditionalFormatting sqref="F281:AA281">
    <cfRule type="cellIs" dxfId="271" priority="31" operator="equal">
      <formula>"N"</formula>
    </cfRule>
    <cfRule type="cellIs" dxfId="270" priority="32" operator="equal">
      <formula>"A"</formula>
    </cfRule>
  </conditionalFormatting>
  <conditionalFormatting sqref="AB281">
    <cfRule type="cellIs" dxfId="269" priority="29" operator="equal">
      <formula>"N"</formula>
    </cfRule>
    <cfRule type="cellIs" dxfId="268" priority="30" operator="equal">
      <formula>"A"</formula>
    </cfRule>
  </conditionalFormatting>
  <conditionalFormatting sqref="D281">
    <cfRule type="cellIs" dxfId="267" priority="27" operator="equal">
      <formula>"N"</formula>
    </cfRule>
    <cfRule type="cellIs" dxfId="266" priority="28" operator="equal">
      <formula>"A"</formula>
    </cfRule>
  </conditionalFormatting>
  <conditionalFormatting sqref="E281">
    <cfRule type="cellIs" dxfId="265" priority="25" operator="equal">
      <formula>"N"</formula>
    </cfRule>
    <cfRule type="cellIs" dxfId="264" priority="26" operator="equal">
      <formula>"A"</formula>
    </cfRule>
  </conditionalFormatting>
  <conditionalFormatting sqref="AF281">
    <cfRule type="cellIs" dxfId="263" priority="23" operator="equal">
      <formula>"N"</formula>
    </cfRule>
    <cfRule type="cellIs" dxfId="262" priority="24" operator="equal">
      <formula>"A"</formula>
    </cfRule>
  </conditionalFormatting>
  <conditionalFormatting sqref="AC297:AE297">
    <cfRule type="cellIs" dxfId="261" priority="17" operator="equal">
      <formula>"N"</formula>
    </cfRule>
    <cfRule type="cellIs" dxfId="260" priority="18" operator="equal">
      <formula>"A"</formula>
    </cfRule>
  </conditionalFormatting>
  <conditionalFormatting sqref="F297:AA297">
    <cfRule type="cellIs" dxfId="259" priority="15" operator="equal">
      <formula>"N"</formula>
    </cfRule>
    <cfRule type="cellIs" dxfId="258" priority="16" operator="equal">
      <formula>"A"</formula>
    </cfRule>
  </conditionalFormatting>
  <conditionalFormatting sqref="AB297">
    <cfRule type="cellIs" dxfId="257" priority="13" operator="equal">
      <formula>"N"</formula>
    </cfRule>
    <cfRule type="cellIs" dxfId="256" priority="14" operator="equal">
      <formula>"A"</formula>
    </cfRule>
  </conditionalFormatting>
  <conditionalFormatting sqref="AD284:AG296">
    <cfRule type="cellIs" dxfId="255" priority="21" operator="equal">
      <formula>"N"</formula>
    </cfRule>
    <cfRule type="cellIs" dxfId="254" priority="22" operator="equal">
      <formula>"A"</formula>
    </cfRule>
  </conditionalFormatting>
  <conditionalFormatting sqref="D297">
    <cfRule type="cellIs" dxfId="253" priority="11" operator="equal">
      <formula>"N"</formula>
    </cfRule>
    <cfRule type="cellIs" dxfId="252" priority="12" operator="equal">
      <formula>"A"</formula>
    </cfRule>
  </conditionalFormatting>
  <conditionalFormatting sqref="D284:AC296">
    <cfRule type="cellIs" dxfId="251" priority="19" operator="equal">
      <formula>"N"</formula>
    </cfRule>
    <cfRule type="cellIs" dxfId="250" priority="20" operator="equal">
      <formula>"A"</formula>
    </cfRule>
  </conditionalFormatting>
  <conditionalFormatting sqref="E297">
    <cfRule type="cellIs" dxfId="249" priority="9" operator="equal">
      <formula>"N"</formula>
    </cfRule>
    <cfRule type="cellIs" dxfId="248" priority="10" operator="equal">
      <formula>"A"</formula>
    </cfRule>
  </conditionalFormatting>
  <conditionalFormatting sqref="AF297">
    <cfRule type="cellIs" dxfId="247" priority="7" operator="equal">
      <formula>"N"</formula>
    </cfRule>
    <cfRule type="cellIs" dxfId="246" priority="8" operator="equal">
      <formula>"A"</formula>
    </cfRule>
  </conditionalFormatting>
  <conditionalFormatting sqref="AD7:AG18 AD66:AG78 AC92:AG92 AD80:AG91 AC34:AG34 AD22:AG33 AC48:AG48 AD36:AG47 AC50:AG62 AC63:AF63 AC106:AG106 AD94:AG105 AC108:AG120 AC135:AE135 AC122:AG134 AD20:AG20">
    <cfRule type="cellIs" dxfId="245" priority="211" operator="equal">
      <formula>"N"</formula>
    </cfRule>
    <cfRule type="cellIs" dxfId="244" priority="212" operator="equal">
      <formula>"A"</formula>
    </cfRule>
  </conditionalFormatting>
  <conditionalFormatting sqref="D7:AC18 D20:AC20">
    <cfRule type="cellIs" dxfId="243" priority="139" operator="equal">
      <formula>"N"</formula>
    </cfRule>
    <cfRule type="cellIs" dxfId="242" priority="140" operator="equal">
      <formula>"A"</formula>
    </cfRule>
  </conditionalFormatting>
  <conditionalFormatting sqref="D34">
    <cfRule type="cellIs" dxfId="241" priority="205" operator="equal">
      <formula>"N"</formula>
    </cfRule>
    <cfRule type="cellIs" dxfId="240" priority="206" operator="equal">
      <formula>"A"</formula>
    </cfRule>
  </conditionalFormatting>
  <conditionalFormatting sqref="E48">
    <cfRule type="cellIs" dxfId="239" priority="195" operator="equal">
      <formula>"N"</formula>
    </cfRule>
    <cfRule type="cellIs" dxfId="238" priority="196" operator="equal">
      <formula>"A"</formula>
    </cfRule>
  </conditionalFormatting>
  <conditionalFormatting sqref="E34">
    <cfRule type="cellIs" dxfId="237" priority="203" operator="equal">
      <formula>"N"</formula>
    </cfRule>
    <cfRule type="cellIs" dxfId="236" priority="204" operator="equal">
      <formula>"A"</formula>
    </cfRule>
  </conditionalFormatting>
  <conditionalFormatting sqref="F92:AA92">
    <cfRule type="cellIs" dxfId="235" priority="179" operator="equal">
      <formula>"N"</formula>
    </cfRule>
    <cfRule type="cellIs" dxfId="234" priority="180" operator="equal">
      <formula>"A"</formula>
    </cfRule>
  </conditionalFormatting>
  <conditionalFormatting sqref="F34:AA34">
    <cfRule type="cellIs" dxfId="233" priority="209" operator="equal">
      <formula>"N"</formula>
    </cfRule>
    <cfRule type="cellIs" dxfId="232" priority="210" operator="equal">
      <formula>"A"</formula>
    </cfRule>
  </conditionalFormatting>
  <conditionalFormatting sqref="AB34">
    <cfRule type="cellIs" dxfId="231" priority="207" operator="equal">
      <formula>"N"</formula>
    </cfRule>
    <cfRule type="cellIs" dxfId="230" priority="208" operator="equal">
      <formula>"A"</formula>
    </cfRule>
  </conditionalFormatting>
  <conditionalFormatting sqref="D48">
    <cfRule type="cellIs" dxfId="229" priority="197" operator="equal">
      <formula>"N"</formula>
    </cfRule>
    <cfRule type="cellIs" dxfId="228" priority="198" operator="equal">
      <formula>"A"</formula>
    </cfRule>
  </conditionalFormatting>
  <conditionalFormatting sqref="F48:Q48 S48:AA48">
    <cfRule type="cellIs" dxfId="227" priority="201" operator="equal">
      <formula>"N"</formula>
    </cfRule>
    <cfRule type="cellIs" dxfId="226" priority="202" operator="equal">
      <formula>"A"</formula>
    </cfRule>
  </conditionalFormatting>
  <conditionalFormatting sqref="AB48">
    <cfRule type="cellIs" dxfId="225" priority="199" operator="equal">
      <formula>"N"</formula>
    </cfRule>
    <cfRule type="cellIs" dxfId="224" priority="200" operator="equal">
      <formula>"A"</formula>
    </cfRule>
  </conditionalFormatting>
  <conditionalFormatting sqref="D50:D63">
    <cfRule type="cellIs" dxfId="223" priority="189" operator="equal">
      <formula>"N"</formula>
    </cfRule>
    <cfRule type="cellIs" dxfId="222" priority="190" operator="equal">
      <formula>"A"</formula>
    </cfRule>
  </conditionalFormatting>
  <conditionalFormatting sqref="E50:E63">
    <cfRule type="cellIs" dxfId="221" priority="187" operator="equal">
      <formula>"N"</formula>
    </cfRule>
    <cfRule type="cellIs" dxfId="220" priority="188" operator="equal">
      <formula>"A"</formula>
    </cfRule>
  </conditionalFormatting>
  <conditionalFormatting sqref="F50:AA63">
    <cfRule type="cellIs" dxfId="219" priority="193" operator="equal">
      <formula>"N"</formula>
    </cfRule>
    <cfRule type="cellIs" dxfId="218" priority="194" operator="equal">
      <formula>"A"</formula>
    </cfRule>
  </conditionalFormatting>
  <conditionalFormatting sqref="AB50:AB63">
    <cfRule type="cellIs" dxfId="217" priority="191" operator="equal">
      <formula>"N"</formula>
    </cfRule>
    <cfRule type="cellIs" dxfId="216" priority="192" operator="equal">
      <formula>"A"</formula>
    </cfRule>
  </conditionalFormatting>
  <conditionalFormatting sqref="D22:AC33">
    <cfRule type="cellIs" dxfId="215" priority="185" operator="equal">
      <formula>"N"</formula>
    </cfRule>
    <cfRule type="cellIs" dxfId="214" priority="186" operator="equal">
      <formula>"A"</formula>
    </cfRule>
  </conditionalFormatting>
  <conditionalFormatting sqref="D37:AC47 D36:U36 W36:AC36">
    <cfRule type="cellIs" dxfId="213" priority="183" operator="equal">
      <formula>"N"</formula>
    </cfRule>
    <cfRule type="cellIs" dxfId="212" priority="184" operator="equal">
      <formula>"A"</formula>
    </cfRule>
  </conditionalFormatting>
  <conditionalFormatting sqref="V36">
    <cfRule type="cellIs" dxfId="211" priority="181" operator="equal">
      <formula>"N"</formula>
    </cfRule>
    <cfRule type="cellIs" dxfId="210" priority="182" operator="equal">
      <formula>"A"</formula>
    </cfRule>
  </conditionalFormatting>
  <conditionalFormatting sqref="F106:AA106">
    <cfRule type="cellIs" dxfId="209" priority="171" operator="equal">
      <formula>"N"</formula>
    </cfRule>
    <cfRule type="cellIs" dxfId="208" priority="172" operator="equal">
      <formula>"A"</formula>
    </cfRule>
  </conditionalFormatting>
  <conditionalFormatting sqref="D92">
    <cfRule type="cellIs" dxfId="207" priority="175" operator="equal">
      <formula>"N"</formula>
    </cfRule>
    <cfRule type="cellIs" dxfId="206" priority="176" operator="equal">
      <formula>"A"</formula>
    </cfRule>
  </conditionalFormatting>
  <conditionalFormatting sqref="E92">
    <cfRule type="cellIs" dxfId="205" priority="173" operator="equal">
      <formula>"N"</formula>
    </cfRule>
    <cfRule type="cellIs" dxfId="204" priority="174" operator="equal">
      <formula>"A"</formula>
    </cfRule>
  </conditionalFormatting>
  <conditionalFormatting sqref="AB106">
    <cfRule type="cellIs" dxfId="203" priority="169" operator="equal">
      <formula>"N"</formula>
    </cfRule>
    <cfRule type="cellIs" dxfId="202" priority="170" operator="equal">
      <formula>"A"</formula>
    </cfRule>
  </conditionalFormatting>
  <conditionalFormatting sqref="AB92">
    <cfRule type="cellIs" dxfId="201" priority="177" operator="equal">
      <formula>"N"</formula>
    </cfRule>
    <cfRule type="cellIs" dxfId="200" priority="178" operator="equal">
      <formula>"A"</formula>
    </cfRule>
  </conditionalFormatting>
  <conditionalFormatting sqref="D106">
    <cfRule type="cellIs" dxfId="199" priority="167" operator="equal">
      <formula>"N"</formula>
    </cfRule>
    <cfRule type="cellIs" dxfId="198" priority="168" operator="equal">
      <formula>"A"</formula>
    </cfRule>
  </conditionalFormatting>
  <conditionalFormatting sqref="E106">
    <cfRule type="cellIs" dxfId="197" priority="165" operator="equal">
      <formula>"N"</formula>
    </cfRule>
    <cfRule type="cellIs" dxfId="196" priority="166" operator="equal">
      <formula>"A"</formula>
    </cfRule>
  </conditionalFormatting>
  <conditionalFormatting sqref="D108:D120 D135">
    <cfRule type="cellIs" dxfId="195" priority="159" operator="equal">
      <formula>"N"</formula>
    </cfRule>
    <cfRule type="cellIs" dxfId="194" priority="160" operator="equal">
      <formula>"A"</formula>
    </cfRule>
  </conditionalFormatting>
  <conditionalFormatting sqref="E108:E120 E135">
    <cfRule type="cellIs" dxfId="193" priority="157" operator="equal">
      <formula>"N"</formula>
    </cfRule>
    <cfRule type="cellIs" dxfId="192" priority="158" operator="equal">
      <formula>"A"</formula>
    </cfRule>
  </conditionalFormatting>
  <conditionalFormatting sqref="F108:AA120 F135:AA135">
    <cfRule type="cellIs" dxfId="191" priority="163" operator="equal">
      <formula>"N"</formula>
    </cfRule>
    <cfRule type="cellIs" dxfId="190" priority="164" operator="equal">
      <formula>"A"</formula>
    </cfRule>
  </conditionalFormatting>
  <conditionalFormatting sqref="AB108:AB120 AB135">
    <cfRule type="cellIs" dxfId="189" priority="161" operator="equal">
      <formula>"N"</formula>
    </cfRule>
    <cfRule type="cellIs" dxfId="188" priority="162" operator="equal">
      <formula>"A"</formula>
    </cfRule>
  </conditionalFormatting>
  <conditionalFormatting sqref="D66:AC78">
    <cfRule type="cellIs" dxfId="187" priority="155" operator="equal">
      <formula>"N"</formula>
    </cfRule>
    <cfRule type="cellIs" dxfId="186" priority="156" operator="equal">
      <formula>"A"</formula>
    </cfRule>
  </conditionalFormatting>
  <conditionalFormatting sqref="D80:AC91">
    <cfRule type="cellIs" dxfId="185" priority="153" operator="equal">
      <formula>"N"</formula>
    </cfRule>
    <cfRule type="cellIs" dxfId="184" priority="154" operator="equal">
      <formula>"A"</formula>
    </cfRule>
  </conditionalFormatting>
  <conditionalFormatting sqref="D95:AC105 D94:U94 W94:AC94">
    <cfRule type="cellIs" dxfId="183" priority="151" operator="equal">
      <formula>"N"</formula>
    </cfRule>
    <cfRule type="cellIs" dxfId="182" priority="152" operator="equal">
      <formula>"A"</formula>
    </cfRule>
  </conditionalFormatting>
  <conditionalFormatting sqref="V94">
    <cfRule type="cellIs" dxfId="181" priority="149" operator="equal">
      <formula>"N"</formula>
    </cfRule>
    <cfRule type="cellIs" dxfId="180" priority="150" operator="equal">
      <formula>"A"</formula>
    </cfRule>
  </conditionalFormatting>
  <conditionalFormatting sqref="D122:D134">
    <cfRule type="cellIs" dxfId="179" priority="143" operator="equal">
      <formula>"N"</formula>
    </cfRule>
    <cfRule type="cellIs" dxfId="178" priority="144" operator="equal">
      <formula>"A"</formula>
    </cfRule>
  </conditionalFormatting>
  <conditionalFormatting sqref="E122:E134">
    <cfRule type="cellIs" dxfId="177" priority="141" operator="equal">
      <formula>"N"</formula>
    </cfRule>
    <cfRule type="cellIs" dxfId="176" priority="142" operator="equal">
      <formula>"A"</formula>
    </cfRule>
  </conditionalFormatting>
  <conditionalFormatting sqref="F122:AA134">
    <cfRule type="cellIs" dxfId="175" priority="147" operator="equal">
      <formula>"N"</formula>
    </cfRule>
    <cfRule type="cellIs" dxfId="174" priority="148" operator="equal">
      <formula>"A"</formula>
    </cfRule>
  </conditionalFormatting>
  <conditionalFormatting sqref="AB122:AB134">
    <cfRule type="cellIs" dxfId="173" priority="145" operator="equal">
      <formula>"N"</formula>
    </cfRule>
    <cfRule type="cellIs" dxfId="172" priority="146" operator="equal">
      <formula>"A"</formula>
    </cfRule>
  </conditionalFormatting>
  <conditionalFormatting sqref="AD138:AG150 AC164:AG164 AD152:AG163 AC178:AG178 AD166:AG177 AC180:AG192 AC207:AE207 AC194:AG206">
    <cfRule type="cellIs" dxfId="171" priority="137" operator="equal">
      <formula>"N"</formula>
    </cfRule>
    <cfRule type="cellIs" dxfId="170" priority="138" operator="equal">
      <formula>"A"</formula>
    </cfRule>
  </conditionalFormatting>
  <conditionalFormatting sqref="F164:AA164">
    <cfRule type="cellIs" dxfId="169" priority="135" operator="equal">
      <formula>"N"</formula>
    </cfRule>
    <cfRule type="cellIs" dxfId="168" priority="136" operator="equal">
      <formula>"A"</formula>
    </cfRule>
  </conditionalFormatting>
  <conditionalFormatting sqref="F178:AA178">
    <cfRule type="cellIs" dxfId="167" priority="127" operator="equal">
      <formula>"N"</formula>
    </cfRule>
    <cfRule type="cellIs" dxfId="166" priority="128" operator="equal">
      <formula>"A"</formula>
    </cfRule>
  </conditionalFormatting>
  <conditionalFormatting sqref="D164">
    <cfRule type="cellIs" dxfId="165" priority="131" operator="equal">
      <formula>"N"</formula>
    </cfRule>
    <cfRule type="cellIs" dxfId="164" priority="132" operator="equal">
      <formula>"A"</formula>
    </cfRule>
  </conditionalFormatting>
  <conditionalFormatting sqref="E164">
    <cfRule type="cellIs" dxfId="163" priority="129" operator="equal">
      <formula>"N"</formula>
    </cfRule>
    <cfRule type="cellIs" dxfId="162" priority="130" operator="equal">
      <formula>"A"</formula>
    </cfRule>
  </conditionalFormatting>
  <conditionalFormatting sqref="AB178">
    <cfRule type="cellIs" dxfId="161" priority="125" operator="equal">
      <formula>"N"</formula>
    </cfRule>
    <cfRule type="cellIs" dxfId="160" priority="126" operator="equal">
      <formula>"A"</formula>
    </cfRule>
  </conditionalFormatting>
  <conditionalFormatting sqref="AB164">
    <cfRule type="cellIs" dxfId="159" priority="133" operator="equal">
      <formula>"N"</formula>
    </cfRule>
    <cfRule type="cellIs" dxfId="158" priority="134" operator="equal">
      <formula>"A"</formula>
    </cfRule>
  </conditionalFormatting>
  <conditionalFormatting sqref="D178">
    <cfRule type="cellIs" dxfId="157" priority="123" operator="equal">
      <formula>"N"</formula>
    </cfRule>
    <cfRule type="cellIs" dxfId="156" priority="124" operator="equal">
      <formula>"A"</formula>
    </cfRule>
  </conditionalFormatting>
  <conditionalFormatting sqref="E178">
    <cfRule type="cellIs" dxfId="155" priority="121" operator="equal">
      <formula>"N"</formula>
    </cfRule>
    <cfRule type="cellIs" dxfId="154" priority="122" operator="equal">
      <formula>"A"</formula>
    </cfRule>
  </conditionalFormatting>
  <conditionalFormatting sqref="D180:D192 D207">
    <cfRule type="cellIs" dxfId="153" priority="115" operator="equal">
      <formula>"N"</formula>
    </cfRule>
    <cfRule type="cellIs" dxfId="152" priority="116" operator="equal">
      <formula>"A"</formula>
    </cfRule>
  </conditionalFormatting>
  <conditionalFormatting sqref="E180:E192 E207">
    <cfRule type="cellIs" dxfId="151" priority="113" operator="equal">
      <formula>"N"</formula>
    </cfRule>
    <cfRule type="cellIs" dxfId="150" priority="114" operator="equal">
      <formula>"A"</formula>
    </cfRule>
  </conditionalFormatting>
  <conditionalFormatting sqref="F180:AA192 F207:AA207">
    <cfRule type="cellIs" dxfId="149" priority="119" operator="equal">
      <formula>"N"</formula>
    </cfRule>
    <cfRule type="cellIs" dxfId="148" priority="120" operator="equal">
      <formula>"A"</formula>
    </cfRule>
  </conditionalFormatting>
  <conditionalFormatting sqref="AB180:AB192 AB207">
    <cfRule type="cellIs" dxfId="147" priority="117" operator="equal">
      <formula>"N"</formula>
    </cfRule>
    <cfRule type="cellIs" dxfId="146" priority="118" operator="equal">
      <formula>"A"</formula>
    </cfRule>
  </conditionalFormatting>
  <conditionalFormatting sqref="D138:AC150">
    <cfRule type="cellIs" dxfId="145" priority="111" operator="equal">
      <formula>"N"</formula>
    </cfRule>
    <cfRule type="cellIs" dxfId="144" priority="112" operator="equal">
      <formula>"A"</formula>
    </cfRule>
  </conditionalFormatting>
  <conditionalFormatting sqref="D152:AC163">
    <cfRule type="cellIs" dxfId="143" priority="109" operator="equal">
      <formula>"N"</formula>
    </cfRule>
    <cfRule type="cellIs" dxfId="142" priority="110" operator="equal">
      <formula>"A"</formula>
    </cfRule>
  </conditionalFormatting>
  <conditionalFormatting sqref="D167:AC177 D166:U166 W166:AC166">
    <cfRule type="cellIs" dxfId="141" priority="107" operator="equal">
      <formula>"N"</formula>
    </cfRule>
    <cfRule type="cellIs" dxfId="140" priority="108" operator="equal">
      <formula>"A"</formula>
    </cfRule>
  </conditionalFormatting>
  <conditionalFormatting sqref="V166">
    <cfRule type="cellIs" dxfId="139" priority="105" operator="equal">
      <formula>"N"</formula>
    </cfRule>
    <cfRule type="cellIs" dxfId="138" priority="106" operator="equal">
      <formula>"A"</formula>
    </cfRule>
  </conditionalFormatting>
  <conditionalFormatting sqref="D194:D206">
    <cfRule type="cellIs" dxfId="137" priority="99" operator="equal">
      <formula>"N"</formula>
    </cfRule>
    <cfRule type="cellIs" dxfId="136" priority="100" operator="equal">
      <formula>"A"</formula>
    </cfRule>
  </conditionalFormatting>
  <conditionalFormatting sqref="E194:E206">
    <cfRule type="cellIs" dxfId="135" priority="97" operator="equal">
      <formula>"N"</formula>
    </cfRule>
    <cfRule type="cellIs" dxfId="134" priority="98" operator="equal">
      <formula>"A"</formula>
    </cfRule>
  </conditionalFormatting>
  <conditionalFormatting sqref="F194:AA206">
    <cfRule type="cellIs" dxfId="133" priority="103" operator="equal">
      <formula>"N"</formula>
    </cfRule>
    <cfRule type="cellIs" dxfId="132" priority="104" operator="equal">
      <formula>"A"</formula>
    </cfRule>
  </conditionalFormatting>
  <conditionalFormatting sqref="AB194:AB206">
    <cfRule type="cellIs" dxfId="131" priority="101" operator="equal">
      <formula>"N"</formula>
    </cfRule>
    <cfRule type="cellIs" dxfId="130" priority="102" operator="equal">
      <formula>"A"</formula>
    </cfRule>
  </conditionalFormatting>
  <conditionalFormatting sqref="AF237">
    <cfRule type="cellIs" dxfId="129" priority="69" operator="equal">
      <formula>"N"</formula>
    </cfRule>
    <cfRule type="cellIs" dxfId="128" priority="70" operator="equal">
      <formula>"A"</formula>
    </cfRule>
  </conditionalFormatting>
  <conditionalFormatting sqref="AF135">
    <cfRule type="cellIs" dxfId="127" priority="95" operator="equal">
      <formula>"N"</formula>
    </cfRule>
    <cfRule type="cellIs" dxfId="126" priority="96" operator="equal">
      <formula>"A"</formula>
    </cfRule>
  </conditionalFormatting>
  <conditionalFormatting sqref="AF207">
    <cfRule type="cellIs" dxfId="125" priority="93" operator="equal">
      <formula>"N"</formula>
    </cfRule>
    <cfRule type="cellIs" dxfId="124" priority="94" operator="equal">
      <formula>"A"</formula>
    </cfRule>
  </conditionalFormatting>
  <conditionalFormatting sqref="M236">
    <cfRule type="cellIs" dxfId="123" priority="67" operator="equal">
      <formula>"N"</formula>
    </cfRule>
    <cfRule type="cellIs" dxfId="122" priority="68" operator="equal">
      <formula>"A"</formula>
    </cfRule>
  </conditionalFormatting>
  <conditionalFormatting sqref="M224:M235">
    <cfRule type="cellIs" dxfId="121" priority="65" operator="equal">
      <formula>"N"</formula>
    </cfRule>
    <cfRule type="cellIs" dxfId="120" priority="66" operator="equal">
      <formula>"A"</formula>
    </cfRule>
  </conditionalFormatting>
  <conditionalFormatting sqref="L236">
    <cfRule type="cellIs" dxfId="119" priority="63" operator="equal">
      <formula>"N"</formula>
    </cfRule>
    <cfRule type="cellIs" dxfId="118" priority="64" operator="equal">
      <formula>"A"</formula>
    </cfRule>
  </conditionalFormatting>
  <conditionalFormatting sqref="AD210:AG222 AC236:AG236 AD224:AG235 AC237:AE237">
    <cfRule type="cellIs" dxfId="117" priority="91" operator="equal">
      <formula>"N"</formula>
    </cfRule>
    <cfRule type="cellIs" dxfId="116" priority="92" operator="equal">
      <formula>"A"</formula>
    </cfRule>
  </conditionalFormatting>
  <conditionalFormatting sqref="F236:K236 N236:AA236">
    <cfRule type="cellIs" dxfId="115" priority="89" operator="equal">
      <formula>"N"</formula>
    </cfRule>
    <cfRule type="cellIs" dxfId="114" priority="90" operator="equal">
      <formula>"A"</formula>
    </cfRule>
  </conditionalFormatting>
  <conditionalFormatting sqref="F237:AA237">
    <cfRule type="cellIs" dxfId="113" priority="81" operator="equal">
      <formula>"N"</formula>
    </cfRule>
    <cfRule type="cellIs" dxfId="112" priority="82" operator="equal">
      <formula>"A"</formula>
    </cfRule>
  </conditionalFormatting>
  <conditionalFormatting sqref="D236">
    <cfRule type="cellIs" dxfId="111" priority="85" operator="equal">
      <formula>"N"</formula>
    </cfRule>
    <cfRule type="cellIs" dxfId="110" priority="86" operator="equal">
      <formula>"A"</formula>
    </cfRule>
  </conditionalFormatting>
  <conditionalFormatting sqref="E236">
    <cfRule type="cellIs" dxfId="109" priority="83" operator="equal">
      <formula>"N"</formula>
    </cfRule>
    <cfRule type="cellIs" dxfId="108" priority="84" operator="equal">
      <formula>"A"</formula>
    </cfRule>
  </conditionalFormatting>
  <conditionalFormatting sqref="AB237">
    <cfRule type="cellIs" dxfId="107" priority="79" operator="equal">
      <formula>"N"</formula>
    </cfRule>
    <cfRule type="cellIs" dxfId="106" priority="80" operator="equal">
      <formula>"A"</formula>
    </cfRule>
  </conditionalFormatting>
  <conditionalFormatting sqref="AB236">
    <cfRule type="cellIs" dxfId="105" priority="87" operator="equal">
      <formula>"N"</formula>
    </cfRule>
    <cfRule type="cellIs" dxfId="104" priority="88" operator="equal">
      <formula>"A"</formula>
    </cfRule>
  </conditionalFormatting>
  <conditionalFormatting sqref="D237">
    <cfRule type="cellIs" dxfId="103" priority="77" operator="equal">
      <formula>"N"</formula>
    </cfRule>
    <cfRule type="cellIs" dxfId="102" priority="78" operator="equal">
      <formula>"A"</formula>
    </cfRule>
  </conditionalFormatting>
  <conditionalFormatting sqref="E237">
    <cfRule type="cellIs" dxfId="101" priority="75" operator="equal">
      <formula>"N"</formula>
    </cfRule>
    <cfRule type="cellIs" dxfId="100" priority="76" operator="equal">
      <formula>"A"</formula>
    </cfRule>
  </conditionalFormatting>
  <conditionalFormatting sqref="D280">
    <cfRule type="cellIs" dxfId="99" priority="45" operator="equal">
      <formula>"N"</formula>
    </cfRule>
    <cfRule type="cellIs" dxfId="98" priority="46" operator="equal">
      <formula>"A"</formula>
    </cfRule>
  </conditionalFormatting>
  <conditionalFormatting sqref="E280">
    <cfRule type="cellIs" dxfId="97" priority="43" operator="equal">
      <formula>"N"</formula>
    </cfRule>
    <cfRule type="cellIs" dxfId="96" priority="44" operator="equal">
      <formula>"A"</formula>
    </cfRule>
  </conditionalFormatting>
  <conditionalFormatting sqref="F280:AA280">
    <cfRule type="cellIs" dxfId="95" priority="49" operator="equal">
      <formula>"N"</formula>
    </cfRule>
    <cfRule type="cellIs" dxfId="94" priority="50" operator="equal">
      <formula>"A"</formula>
    </cfRule>
  </conditionalFormatting>
  <conditionalFormatting sqref="AB280">
    <cfRule type="cellIs" dxfId="93" priority="47" operator="equal">
      <formula>"N"</formula>
    </cfRule>
    <cfRule type="cellIs" dxfId="92" priority="48" operator="equal">
      <formula>"A"</formula>
    </cfRule>
  </conditionalFormatting>
  <conditionalFormatting sqref="D210:AC222">
    <cfRule type="cellIs" dxfId="91" priority="73" operator="equal">
      <formula>"N"</formula>
    </cfRule>
    <cfRule type="cellIs" dxfId="90" priority="74" operator="equal">
      <formula>"A"</formula>
    </cfRule>
  </conditionalFormatting>
  <conditionalFormatting sqref="D224:K235 N224:AC235">
    <cfRule type="cellIs" dxfId="89" priority="71" operator="equal">
      <formula>"N"</formula>
    </cfRule>
    <cfRule type="cellIs" dxfId="88" priority="72" operator="equal">
      <formula>"A"</formula>
    </cfRule>
  </conditionalFormatting>
  <conditionalFormatting sqref="D269:AC279 D268:U268 W268:AC268">
    <cfRule type="cellIs" dxfId="87" priority="37" operator="equal">
      <formula>"N"</formula>
    </cfRule>
    <cfRule type="cellIs" dxfId="86" priority="38" operator="equal">
      <formula>"A"</formula>
    </cfRule>
  </conditionalFormatting>
  <conditionalFormatting sqref="V268">
    <cfRule type="cellIs" dxfId="85" priority="35" operator="equal">
      <formula>"N"</formula>
    </cfRule>
    <cfRule type="cellIs" dxfId="84" priority="36" operator="equal">
      <formula>"A"</formula>
    </cfRule>
  </conditionalFormatting>
  <conditionalFormatting sqref="L224:L235">
    <cfRule type="cellIs" dxfId="83" priority="61" operator="equal">
      <formula>"N"</formula>
    </cfRule>
    <cfRule type="cellIs" dxfId="82" priority="62" operator="equal">
      <formula>"A"</formula>
    </cfRule>
  </conditionalFormatting>
  <conditionalFormatting sqref="AD240:AG252 AC266:AG266 AD254:AG265 AC280:AG280 AD268:AG279">
    <cfRule type="cellIs" dxfId="81" priority="59" operator="equal">
      <formula>"N"</formula>
    </cfRule>
    <cfRule type="cellIs" dxfId="80" priority="60" operator="equal">
      <formula>"A"</formula>
    </cfRule>
  </conditionalFormatting>
  <conditionalFormatting sqref="F266:AA266">
    <cfRule type="cellIs" dxfId="79" priority="57" operator="equal">
      <formula>"N"</formula>
    </cfRule>
    <cfRule type="cellIs" dxfId="78" priority="58" operator="equal">
      <formula>"A"</formula>
    </cfRule>
  </conditionalFormatting>
  <conditionalFormatting sqref="D266">
    <cfRule type="cellIs" dxfId="77" priority="53" operator="equal">
      <formula>"N"</formula>
    </cfRule>
    <cfRule type="cellIs" dxfId="76" priority="54" operator="equal">
      <formula>"A"</formula>
    </cfRule>
  </conditionalFormatting>
  <conditionalFormatting sqref="E266">
    <cfRule type="cellIs" dxfId="75" priority="51" operator="equal">
      <formula>"N"</formula>
    </cfRule>
    <cfRule type="cellIs" dxfId="74" priority="52" operator="equal">
      <formula>"A"</formula>
    </cfRule>
  </conditionalFormatting>
  <conditionalFormatting sqref="AB266">
    <cfRule type="cellIs" dxfId="73" priority="55" operator="equal">
      <formula>"N"</formula>
    </cfRule>
    <cfRule type="cellIs" dxfId="72" priority="56" operator="equal">
      <formula>"A"</formula>
    </cfRule>
  </conditionalFormatting>
  <conditionalFormatting sqref="D240:AC252">
    <cfRule type="cellIs" dxfId="71" priority="41" operator="equal">
      <formula>"N"</formula>
    </cfRule>
    <cfRule type="cellIs" dxfId="70" priority="42" operator="equal">
      <formula>"A"</formula>
    </cfRule>
  </conditionalFormatting>
  <conditionalFormatting sqref="D254:AC265">
    <cfRule type="cellIs" dxfId="69" priority="39" operator="equal">
      <formula>"N"</formula>
    </cfRule>
    <cfRule type="cellIs" dxfId="68" priority="40" operator="equal">
      <formula>"A"</formula>
    </cfRule>
  </conditionalFormatting>
  <conditionalFormatting sqref="R48">
    <cfRule type="cellIs" dxfId="67" priority="5" operator="equal">
      <formula>"N"</formula>
    </cfRule>
    <cfRule type="cellIs" dxfId="66" priority="6" operator="equal">
      <formula>"A"</formula>
    </cfRule>
  </conditionalFormatting>
  <conditionalFormatting sqref="AD19:AG19">
    <cfRule type="cellIs" dxfId="65" priority="3" operator="equal">
      <formula>"N"</formula>
    </cfRule>
    <cfRule type="cellIs" dxfId="64" priority="4" operator="equal">
      <formula>"A"</formula>
    </cfRule>
  </conditionalFormatting>
  <conditionalFormatting sqref="D19:AC19">
    <cfRule type="cellIs" dxfId="63" priority="1" operator="equal">
      <formula>"N"</formula>
    </cfRule>
    <cfRule type="cellIs" dxfId="62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38"/>
  <sheetViews>
    <sheetView showGridLines="0" zoomScale="60" zoomScaleNormal="60" zoomScaleSheetLayoutView="100" workbookViewId="0">
      <pane xSplit="3" ySplit="4" topLeftCell="Q23" activePane="bottomRight" state="frozen"/>
      <selection pane="topRight" activeCell="C1" sqref="C1"/>
      <selection pane="bottomLeft" activeCell="A5" sqref="A5"/>
      <selection pane="bottomRight" activeCell="AF4" sqref="AF4"/>
    </sheetView>
  </sheetViews>
  <sheetFormatPr defaultColWidth="8.88671875" defaultRowHeight="14.4" x14ac:dyDescent="0.3"/>
  <cols>
    <col min="2" max="2" width="21.44140625" customWidth="1"/>
    <col min="3" max="3" width="33.6640625" customWidth="1"/>
    <col min="4" max="31" width="14.33203125" style="247" customWidth="1"/>
    <col min="32" max="32" width="14.109375" style="247" customWidth="1"/>
    <col min="33" max="33" width="14.88671875" style="247" customWidth="1"/>
    <col min="34" max="34" width="11.88671875" style="247" customWidth="1"/>
    <col min="35" max="53" width="8.44140625" style="247" customWidth="1"/>
  </cols>
  <sheetData>
    <row r="1" spans="1:54" ht="15" thickBot="1" x14ac:dyDescent="0.35"/>
    <row r="2" spans="1:54" s="741" customFormat="1" ht="87" thickBot="1" x14ac:dyDescent="0.35">
      <c r="A2" s="807"/>
      <c r="B2" s="250" t="s">
        <v>216</v>
      </c>
      <c r="C2" s="743" t="str">
        <f>'Procesy - AS IS'!C2</f>
        <v>Inšpekčná činnosť</v>
      </c>
      <c r="D2" s="744" t="str">
        <f>'Procesy - ∆'!D2</f>
        <v>Prijatie oznámenia MZV</v>
      </c>
      <c r="E2" s="744" t="str">
        <f>'Procesy - ∆'!E2</f>
        <v>Príprava na kontrolu pred vydaním poverenia</v>
      </c>
      <c r="F2" s="744" t="str">
        <f>'Procesy - ∆'!F2</f>
        <v>Vystavenie poverenia</v>
      </c>
      <c r="G2" s="744" t="str">
        <f>'Procesy - ∆'!G2</f>
        <v>Oboznámenie sa s predchádzajúcimi zisteniami</v>
      </c>
      <c r="H2" s="744" t="str">
        <f>'Procesy - ∆'!H2</f>
        <v>Oboznámenie sa s výškou predchádzajúcich sankcií</v>
      </c>
      <c r="I2" s="744" t="str">
        <f>'Procesy - ∆'!I2</f>
        <v>Oboznámenie sa s uhrádzaním sankcií</v>
      </c>
      <c r="J2" s="744" t="str">
        <f>'Procesy - ∆'!J2</f>
        <v>Oboznámenie sa s plnením nápravných opatrení</v>
      </c>
      <c r="K2" s="744" t="str">
        <f>'Procesy - ∆'!K2</f>
        <v>Zber externých údajov pri príprave kontroly</v>
      </c>
      <c r="L2" s="744" t="str">
        <f>'Procesy - ∆'!L2</f>
        <v>Vypracovanie oznámenia o začatí kontroly</v>
      </c>
      <c r="M2" s="744" t="str">
        <f>'Procesy - ∆'!M2</f>
        <v>Vypracovanie zoznamu požadovanej dokumentácie</v>
      </c>
      <c r="N2" s="744" t="str">
        <f>'Procesy - ∆'!N2</f>
        <v>Vypracovanie zoznamu kontrolných otázok</v>
      </c>
      <c r="O2" s="744" t="str">
        <f>'Procesy - ∆'!O2</f>
        <v>Administratívna príprava kontroly</v>
      </c>
      <c r="P2" s="744" t="str">
        <f>'Procesy - ∆'!P2</f>
        <v>Uloženie dôkazov z ohliadky do spisu</v>
      </c>
      <c r="Q2" s="744" t="str">
        <f>'Procesy - ∆'!Q2</f>
        <v>Vypracovanie zápisu z ohliadky / čiastkového / priebežného protokolu</v>
      </c>
      <c r="R2" s="744" t="str">
        <f>'Procesy - ∆'!R2</f>
        <v>Vypracovanie výstupu z kontroly (protokol, správa)</v>
      </c>
      <c r="S2" s="744" t="str">
        <f>'Procesy - ∆'!S2</f>
        <v>Vypracovanie výstupu z kontroly (záznam, správa)</v>
      </c>
      <c r="T2" s="744" t="str">
        <f>'Procesy - ∆'!T2</f>
        <v>Vypracovanie stanoviska k pripomienkam kontrolovaného subjektu</v>
      </c>
      <c r="U2" s="744" t="str">
        <f>'Procesy - ∆'!U2</f>
        <v>Vypracovanie zápisnice z prerokovania výstupu z kontroly</v>
      </c>
      <c r="V2" s="744" t="str">
        <f>'Procesy - ∆'!V2</f>
        <v>Ukončenie spisu</v>
      </c>
      <c r="W2" s="744" t="str">
        <f>'Procesy - ∆'!W2</f>
        <v>Vypracovanie a zaslanie oznámenia o začatí správneho konania</v>
      </c>
      <c r="X2" s="744" t="str">
        <f>'Procesy - ∆'!X2</f>
        <v>Vypracovanie zápisnice z ústneho pojednávania</v>
      </c>
      <c r="Y2" s="744" t="str">
        <f>'Procesy - ∆'!Y2</f>
        <v>Vypracovanie rozhodnutia o sankcii</v>
      </c>
      <c r="Z2" s="744" t="str">
        <f>'Procesy - ∆'!Z2</f>
        <v>Vypracovanie upovedomenia o postúpení odvolania</v>
      </c>
      <c r="AA2" s="744" t="str">
        <f>'Procesy - ∆'!AA2</f>
        <v>Žurnalizácia spisu</v>
      </c>
      <c r="AB2" s="744" t="str">
        <f>'Procesy - ∆'!AB2</f>
        <v>Vypracovanie predkladacej správy k odvolaniu</v>
      </c>
      <c r="AC2" s="744" t="str">
        <f>'Procesy - ∆'!AC2</f>
        <v>Vypracovanie rozhodnutia o odvolaní</v>
      </c>
      <c r="AD2" s="930" t="str">
        <f>'Procesy - ∆'!AD2</f>
        <v>Trvanie spolu</v>
      </c>
      <c r="AE2" s="930" t="str">
        <f>'Procesy - ∆'!AF2</f>
        <v>Počet kontrol</v>
      </c>
      <c r="AF2" s="745" t="str">
        <f>'Procesy - ∆'!AG2</f>
        <v>Počet kontrol so zistením</v>
      </c>
      <c r="AG2" s="745" t="str">
        <f>'Procesy - ∆'!AH2</f>
        <v>Počet kontrol s pokutou</v>
      </c>
      <c r="AH2" s="931" t="str">
        <f>'Procesy - ∆'!AI2</f>
        <v>Počet kontrol s odvolaním</v>
      </c>
      <c r="AI2" s="785"/>
      <c r="AJ2" s="785"/>
      <c r="AK2" s="785"/>
      <c r="AL2" s="785"/>
      <c r="AM2" s="785"/>
      <c r="AN2" s="786"/>
      <c r="AO2" s="746"/>
      <c r="AP2" s="746"/>
      <c r="AQ2" s="787"/>
      <c r="AR2" s="787"/>
      <c r="AS2" s="787"/>
      <c r="AT2" s="787"/>
      <c r="AU2" s="787"/>
      <c r="AV2" s="787"/>
      <c r="AW2" s="787"/>
      <c r="AX2" s="746"/>
      <c r="AY2" s="746"/>
      <c r="AZ2" s="787"/>
      <c r="BA2" s="787"/>
      <c r="BB2" s="787"/>
    </row>
    <row r="3" spans="1:54" x14ac:dyDescent="0.3">
      <c r="B3" s="754"/>
      <c r="C3" s="755"/>
      <c r="D3" s="761" t="s">
        <v>435</v>
      </c>
      <c r="E3" s="760" t="s">
        <v>435</v>
      </c>
      <c r="F3" s="760" t="s">
        <v>435</v>
      </c>
      <c r="G3" s="764" t="s">
        <v>435</v>
      </c>
      <c r="H3" s="764" t="s">
        <v>435</v>
      </c>
      <c r="I3" s="764" t="s">
        <v>435</v>
      </c>
      <c r="J3" s="764" t="s">
        <v>435</v>
      </c>
      <c r="K3" s="764" t="s">
        <v>435</v>
      </c>
      <c r="L3" s="764" t="s">
        <v>435</v>
      </c>
      <c r="M3" s="764" t="s">
        <v>435</v>
      </c>
      <c r="N3" s="764" t="s">
        <v>435</v>
      </c>
      <c r="O3" s="764" t="s">
        <v>435</v>
      </c>
      <c r="P3" s="764" t="s">
        <v>435</v>
      </c>
      <c r="Q3" s="764" t="s">
        <v>435</v>
      </c>
      <c r="R3" s="764" t="s">
        <v>435</v>
      </c>
      <c r="S3" s="764" t="s">
        <v>435</v>
      </c>
      <c r="T3" s="764" t="s">
        <v>435</v>
      </c>
      <c r="U3" s="764" t="s">
        <v>435</v>
      </c>
      <c r="V3" s="764" t="s">
        <v>435</v>
      </c>
      <c r="W3" s="764" t="s">
        <v>435</v>
      </c>
      <c r="X3" s="764" t="s">
        <v>435</v>
      </c>
      <c r="Y3" s="764" t="s">
        <v>435</v>
      </c>
      <c r="Z3" s="764" t="s">
        <v>435</v>
      </c>
      <c r="AA3" s="764" t="s">
        <v>435</v>
      </c>
      <c r="AB3" s="764" t="s">
        <v>435</v>
      </c>
      <c r="AC3" s="760" t="s">
        <v>435</v>
      </c>
      <c r="AD3" s="865" t="s">
        <v>435</v>
      </c>
      <c r="AE3" s="932"/>
      <c r="AF3" s="933"/>
      <c r="AG3" s="933"/>
      <c r="AH3" s="793"/>
      <c r="AN3" s="252"/>
      <c r="AO3" s="253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</row>
    <row r="4" spans="1:54" x14ac:dyDescent="0.3">
      <c r="B4" s="765" t="s">
        <v>161</v>
      </c>
      <c r="C4" s="788" t="s">
        <v>443</v>
      </c>
      <c r="D4" s="813">
        <f t="shared" ref="D4:AD4" si="0">D5*$AE5/$AE4+D11*$AE11/$AE4+D18*$AE18/$AE4+D25*$AE25/$AE4+D29*$AE29/$AE4+D34*$AE34/$AE4</f>
        <v>0</v>
      </c>
      <c r="E4" s="813">
        <f t="shared" si="0"/>
        <v>0.52187378340888368</v>
      </c>
      <c r="F4" s="813">
        <f t="shared" si="0"/>
        <v>0.36558252540722724</v>
      </c>
      <c r="G4" s="813">
        <f t="shared" si="0"/>
        <v>9.3399893315790923</v>
      </c>
      <c r="H4" s="813">
        <f t="shared" si="0"/>
        <v>0</v>
      </c>
      <c r="I4" s="813">
        <f t="shared" si="0"/>
        <v>0</v>
      </c>
      <c r="J4" s="813">
        <f t="shared" si="0"/>
        <v>0</v>
      </c>
      <c r="K4" s="813">
        <f t="shared" si="0"/>
        <v>0</v>
      </c>
      <c r="L4" s="813">
        <f t="shared" si="0"/>
        <v>0.34890771049608926</v>
      </c>
      <c r="M4" s="813">
        <f t="shared" si="0"/>
        <v>0.47858628768689515</v>
      </c>
      <c r="N4" s="813">
        <f t="shared" si="0"/>
        <v>0</v>
      </c>
      <c r="O4" s="813">
        <f t="shared" si="0"/>
        <v>0</v>
      </c>
      <c r="P4" s="813">
        <f t="shared" si="0"/>
        <v>7.9501239013174194</v>
      </c>
      <c r="Q4" s="813">
        <f t="shared" si="0"/>
        <v>0</v>
      </c>
      <c r="R4" s="813">
        <f t="shared" si="0"/>
        <v>9.365301601398869</v>
      </c>
      <c r="S4" s="813">
        <f t="shared" si="0"/>
        <v>11.278992490816425</v>
      </c>
      <c r="T4" s="813">
        <f t="shared" si="0"/>
        <v>3.7676610661659424</v>
      </c>
      <c r="U4" s="813">
        <f t="shared" si="0"/>
        <v>2.4204176634515568</v>
      </c>
      <c r="V4" s="813">
        <f t="shared" si="0"/>
        <v>1.2963229245231733</v>
      </c>
      <c r="W4" s="813">
        <f t="shared" si="0"/>
        <v>0.39168730677321723</v>
      </c>
      <c r="X4" s="813">
        <f t="shared" si="0"/>
        <v>0</v>
      </c>
      <c r="Y4" s="813">
        <f t="shared" si="0"/>
        <v>3.8786478227447754</v>
      </c>
      <c r="Z4" s="813">
        <f t="shared" si="0"/>
        <v>5.3408300958287448E-2</v>
      </c>
      <c r="AA4" s="813">
        <f t="shared" si="0"/>
        <v>4.8090903782143805E-2</v>
      </c>
      <c r="AB4" s="813">
        <f t="shared" si="0"/>
        <v>0.33950345749910255</v>
      </c>
      <c r="AC4" s="813">
        <f t="shared" si="0"/>
        <v>6.3303355502334107</v>
      </c>
      <c r="AD4" s="867">
        <f t="shared" si="0"/>
        <v>172.92924546683255</v>
      </c>
      <c r="AE4" s="934">
        <f>AE5+AE11+AE18+AE25+AE29+AE34</f>
        <v>3324.0562009622076</v>
      </c>
      <c r="AF4" s="935">
        <f t="shared" ref="AF4:AH4" si="1">AF5+AF11+AF18+AF25+AF29+AF34</f>
        <v>1128.765625019704</v>
      </c>
      <c r="AG4" s="935">
        <f t="shared" si="1"/>
        <v>920.52889940950399</v>
      </c>
      <c r="AH4" s="936">
        <f t="shared" si="1"/>
        <v>99.520292616487964</v>
      </c>
      <c r="AN4" s="252"/>
      <c r="AO4" s="255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</row>
    <row r="5" spans="1:54" x14ac:dyDescent="0.3">
      <c r="B5" s="756" t="s">
        <v>455</v>
      </c>
      <c r="C5" s="757" t="s">
        <v>472</v>
      </c>
      <c r="D5" s="872">
        <f>D6*$AE6/($AE5-$AE10)+D7*$AE7/($AE5-$AE10)+D8*$AE8/($AE5-$AE10)+D9*$AE9/($AE5-$AE10)</f>
        <v>0</v>
      </c>
      <c r="E5" s="751">
        <f>E6*$AE6/($AE5-$AE10)+E7*$AE7/($AE5-$AE10)+E8*$AE8/($AE5-$AE10)+E9*$AE9/($AE5-$AE10)</f>
        <v>0</v>
      </c>
      <c r="F5" s="751">
        <f>F6*$AE6/($AE5-$AE10)+F7*$AE7/($AE5-$AE10)+F8*$AE8/($AE5-$AE10)+F9*$AE9/($AE5-$AE10)</f>
        <v>0.32617214546482237</v>
      </c>
      <c r="G5" s="752">
        <f>G6*$AE6/($AE5-$AE10)+G7*$AE7/($AE5-$AE10)+G8*$AE8/($AE5-$AE10)+G9*$AE9/($AE5-$AE10)</f>
        <v>10.125979129094027</v>
      </c>
      <c r="H5" s="753"/>
      <c r="I5" s="753"/>
      <c r="J5" s="753"/>
      <c r="K5" s="753"/>
      <c r="L5" s="753"/>
      <c r="M5" s="751"/>
      <c r="N5" s="752">
        <f>N6*$AE6/($AE5-$AE10)+N7*$AE7/($AE5-$AE10)+N8*$AE8/($AE5-$AE10)+N9*$AE9/($AE5-$AE10)</f>
        <v>0</v>
      </c>
      <c r="O5" s="752"/>
      <c r="P5" s="752">
        <f t="shared" ref="P5:AC5" si="2">P6*$AE6/($AE5-$AE10)+P7*$AE7/($AE5-$AE10)+P8*$AE8/($AE5-$AE10)+P9*$AE9/($AE5-$AE10)</f>
        <v>10.88451071087735</v>
      </c>
      <c r="Q5" s="752">
        <f t="shared" si="2"/>
        <v>0</v>
      </c>
      <c r="R5" s="752">
        <f t="shared" si="2"/>
        <v>13.087722164330602</v>
      </c>
      <c r="S5" s="752">
        <f t="shared" si="2"/>
        <v>13.981645289856109</v>
      </c>
      <c r="T5" s="751">
        <f t="shared" si="2"/>
        <v>3.8378275665588641</v>
      </c>
      <c r="U5" s="751">
        <f t="shared" si="2"/>
        <v>3.4941299846825973</v>
      </c>
      <c r="V5" s="751">
        <f t="shared" si="2"/>
        <v>3.6187353541504885</v>
      </c>
      <c r="W5" s="751">
        <f t="shared" si="2"/>
        <v>0.89468519851571238</v>
      </c>
      <c r="X5" s="751">
        <f t="shared" si="2"/>
        <v>0</v>
      </c>
      <c r="Y5" s="751">
        <f t="shared" si="2"/>
        <v>5.7259852705005585</v>
      </c>
      <c r="Z5" s="751">
        <f t="shared" si="2"/>
        <v>0.10178322012858532</v>
      </c>
      <c r="AA5" s="751">
        <f t="shared" si="2"/>
        <v>4.1349433177237785E-2</v>
      </c>
      <c r="AB5" s="751">
        <f t="shared" si="2"/>
        <v>0.4771088443527437</v>
      </c>
      <c r="AC5" s="751">
        <f t="shared" si="2"/>
        <v>1.3455793617226557</v>
      </c>
      <c r="AD5" s="873">
        <f>SUM(AD6:AD10)</f>
        <v>271.80761497759966</v>
      </c>
      <c r="AE5" s="937">
        <f>SUM(AE6:AE10)</f>
        <v>744.43610611209601</v>
      </c>
      <c r="AF5" s="938">
        <f>SUM(AF6:AF10)</f>
        <v>308.83307193302062</v>
      </c>
      <c r="AG5" s="939">
        <f>SUM(AG6:AG10)</f>
        <v>220.52889940950396</v>
      </c>
      <c r="AH5" s="794">
        <f>SUM(AH6:AH10)</f>
        <v>23.520292616487968</v>
      </c>
      <c r="AN5" s="252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</row>
    <row r="6" spans="1:54" ht="28.8" x14ac:dyDescent="0.3">
      <c r="B6" s="808" t="str">
        <f>'Procesy - AS IS'!B6</f>
        <v>Meranie č. 1</v>
      </c>
      <c r="C6" s="769" t="str">
        <f>'Procesy - AS IS'!C6</f>
        <v>AUTOGRAND, a.s., Zaobchádzanie so znečisťujúcimi látkami, 1045/2017</v>
      </c>
      <c r="D6" s="820">
        <f>'Procesy - AS IS'!D8+'Procesy - ∆'!D6</f>
        <v>0</v>
      </c>
      <c r="E6" s="767">
        <f>'Procesy - AS IS'!E8+'Procesy - ∆'!E6</f>
        <v>0</v>
      </c>
      <c r="F6" s="767">
        <f>'Procesy - AS IS'!F8+'Procesy - ∆'!F6</f>
        <v>0</v>
      </c>
      <c r="G6" s="767">
        <f>'Procesy - AS IS'!G8+'Procesy - ∆'!G6</f>
        <v>9</v>
      </c>
      <c r="H6" s="767" t="s">
        <v>523</v>
      </c>
      <c r="I6" s="767" t="s">
        <v>523</v>
      </c>
      <c r="J6" s="767" t="s">
        <v>523</v>
      </c>
      <c r="K6" s="767" t="s">
        <v>523</v>
      </c>
      <c r="L6" s="767" t="s">
        <v>523</v>
      </c>
      <c r="M6" s="767" t="s">
        <v>523</v>
      </c>
      <c r="N6" s="767">
        <f>'Procesy - AS IS'!N8+'Procesy - ∆'!N6</f>
        <v>0</v>
      </c>
      <c r="O6" s="767" t="s">
        <v>524</v>
      </c>
      <c r="P6" s="767">
        <f>'Procesy - AS IS'!P8+'Procesy - ∆'!P6</f>
        <v>16</v>
      </c>
      <c r="Q6" s="767">
        <f>'Procesy - AS IS'!Q8+'Procesy - ∆'!Q6</f>
        <v>0</v>
      </c>
      <c r="R6" s="767">
        <f>'Procesy - AS IS'!R8+'Procesy - ∆'!R6</f>
        <v>7.053061224489797</v>
      </c>
      <c r="S6" s="767">
        <f>'Procesy - AS IS'!S8+'Procesy - ∆'!S6</f>
        <v>12.146938775510204</v>
      </c>
      <c r="T6" s="767">
        <f>'Procesy - AS IS'!T8+'Procesy - ∆'!T6</f>
        <v>4.702040816326531</v>
      </c>
      <c r="U6" s="767">
        <f>'Procesy - AS IS'!U8+'Procesy - ∆'!U6</f>
        <v>3.795918367346939</v>
      </c>
      <c r="V6" s="767">
        <f>'Procesy - AS IS'!V8+'Procesy - ∆'!V6</f>
        <v>5.2</v>
      </c>
      <c r="W6" s="767">
        <f>'Procesy - AS IS'!W8+'Procesy - ∆'!W6</f>
        <v>0.76530612244897966</v>
      </c>
      <c r="X6" s="767">
        <f>'Procesy - AS IS'!X8+'Procesy - ∆'!X6</f>
        <v>0</v>
      </c>
      <c r="Y6" s="767">
        <f>'Procesy - AS IS'!Y8+'Procesy - ∆'!Y6</f>
        <v>4.8979591836734695</v>
      </c>
      <c r="Z6" s="767">
        <f>'Procesy - AS IS'!Z8+'Procesy - ∆'!Z6</f>
        <v>0.16326530612244899</v>
      </c>
      <c r="AA6" s="767">
        <f>'Procesy - AS IS'!AA8+'Procesy - ∆'!AA6</f>
        <v>6.6326530612244902E-2</v>
      </c>
      <c r="AB6" s="767">
        <f>'Procesy - AS IS'!AB8+'Procesy - ∆'!AB6</f>
        <v>0.76530612244897966</v>
      </c>
      <c r="AC6" s="767">
        <f>'Procesy - AS IS'!AC8+'Procesy - ∆'!AC6</f>
        <v>2.1428571428571428</v>
      </c>
      <c r="AD6" s="879">
        <f>SUM(D6:AC6)</f>
        <v>66.698979591836732</v>
      </c>
      <c r="AE6" s="940">
        <f>'Procesy - AS IS'!AG8+'Procesy - ∆'!AF6</f>
        <v>241.74282873097224</v>
      </c>
      <c r="AF6" s="941">
        <f>'Procesy - AS IS'!AH8+'Procesy - ∆'!AG6</f>
        <v>88.803488105255113</v>
      </c>
      <c r="AG6" s="939">
        <f>'Procesy - AS IS'!AI8+'Procesy - ∆'!AH6</f>
        <v>61.669088961982716</v>
      </c>
      <c r="AH6" s="794">
        <f>'Procesy - AS IS'!AJ8+'Procesy - ∆'!AI6</f>
        <v>12.333817792396543</v>
      </c>
      <c r="AN6" s="252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</row>
    <row r="7" spans="1:54" ht="43.2" x14ac:dyDescent="0.3">
      <c r="B7" s="256" t="str">
        <f>'Procesy - AS IS'!B9</f>
        <v>Meranie č. 2</v>
      </c>
      <c r="C7" s="749" t="str">
        <f>'Procesy - AS IS'!C9</f>
        <v>ETI ELB, s.r.o. Báhoň, Nakladanie s vodami a prevádzku a účinnosť ČOV, 6419/2017</v>
      </c>
      <c r="D7" s="820">
        <f>'Procesy - AS IS'!D11+'Procesy - ∆'!D21</f>
        <v>0</v>
      </c>
      <c r="E7" s="752">
        <f>'Procesy - AS IS'!E11+'Procesy - ∆'!E21</f>
        <v>0</v>
      </c>
      <c r="F7" s="752">
        <f>'Procesy - AS IS'!F11+'Procesy - ∆'!F21</f>
        <v>0</v>
      </c>
      <c r="G7" s="752">
        <f>'Procesy - AS IS'!G11+'Procesy - ∆'!G21</f>
        <v>9</v>
      </c>
      <c r="H7" s="752" t="s">
        <v>523</v>
      </c>
      <c r="I7" s="752" t="s">
        <v>523</v>
      </c>
      <c r="J7" s="752" t="s">
        <v>523</v>
      </c>
      <c r="K7" s="752" t="s">
        <v>523</v>
      </c>
      <c r="L7" s="752" t="s">
        <v>523</v>
      </c>
      <c r="M7" s="752" t="s">
        <v>523</v>
      </c>
      <c r="N7" s="752">
        <f>'Procesy - AS IS'!N11+'Procesy - ∆'!N21</f>
        <v>0</v>
      </c>
      <c r="O7" s="752" t="s">
        <v>524</v>
      </c>
      <c r="P7" s="752">
        <f>'Procesy - AS IS'!P11+'Procesy - ∆'!P21</f>
        <v>16</v>
      </c>
      <c r="Q7" s="752">
        <f>'Procesy - AS IS'!Q11+'Procesy - ∆'!Q21</f>
        <v>0</v>
      </c>
      <c r="R7" s="752">
        <f>'Procesy - AS IS'!R11+'Procesy - ∆'!R21</f>
        <v>7.0054054054054049</v>
      </c>
      <c r="S7" s="752">
        <f>'Procesy - AS IS'!S11+'Procesy - ∆'!S21</f>
        <v>12.194594594594594</v>
      </c>
      <c r="T7" s="752">
        <f>'Procesy - AS IS'!T11+'Procesy - ∆'!T21</f>
        <v>4.6702702702702705</v>
      </c>
      <c r="U7" s="752">
        <f>'Procesy - AS IS'!U11+'Procesy - ∆'!U21</f>
        <v>3.8108108108108105</v>
      </c>
      <c r="V7" s="752">
        <f>'Procesy - AS IS'!V11+'Procesy - ∆'!V21</f>
        <v>5.2</v>
      </c>
      <c r="W7" s="752">
        <f>'Procesy - AS IS'!W11+'Procesy - ∆'!W21</f>
        <v>0.77027027027027017</v>
      </c>
      <c r="X7" s="752">
        <f>'Procesy - AS IS'!X11+'Procesy - ∆'!X21</f>
        <v>0</v>
      </c>
      <c r="Y7" s="752">
        <f>'Procesy - AS IS'!Y11+'Procesy - ∆'!Y21</f>
        <v>4.9297297297297291</v>
      </c>
      <c r="Z7" s="752">
        <f>'Procesy - AS IS'!Z11+'Procesy - ∆'!Z21</f>
        <v>0.15135135135135136</v>
      </c>
      <c r="AA7" s="752">
        <f>'Procesy - AS IS'!AA11+'Procesy - ∆'!AA21</f>
        <v>6.148648648648649E-2</v>
      </c>
      <c r="AB7" s="752">
        <f>'Procesy - AS IS'!AB11+'Procesy - ∆'!AB21</f>
        <v>0.70945945945945954</v>
      </c>
      <c r="AC7" s="752">
        <f>'Procesy - AS IS'!AC11+'Procesy - ∆'!AC21</f>
        <v>1.9864864864864864</v>
      </c>
      <c r="AD7" s="903">
        <f>SUM(D7:AC7)</f>
        <v>66.48986486486487</v>
      </c>
      <c r="AE7" s="940">
        <f>'Procesy - AS IS'!AG11+'Procesy - ∆'!AF21</f>
        <v>182.49397896448349</v>
      </c>
      <c r="AF7" s="941">
        <f>'Procesy - AS IS'!AH11+'Procesy - ∆'!AG21</f>
        <v>66.585640973527759</v>
      </c>
      <c r="AG7" s="939">
        <f>'Procesy - AS IS'!AI11+'Procesy - ∆'!AH21</f>
        <v>46.856562166556571</v>
      </c>
      <c r="AH7" s="794">
        <f>'Procesy - AS IS'!AJ11+'Procesy - ∆'!AI21</f>
        <v>8.6314719780498947</v>
      </c>
      <c r="AN7" s="252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</row>
    <row r="8" spans="1:54" ht="28.8" x14ac:dyDescent="0.3">
      <c r="B8" s="256" t="str">
        <f>'Procesy - AS IS'!B12</f>
        <v>Meranie č. 3</v>
      </c>
      <c r="C8" s="749" t="str">
        <f>'Procesy - AS IS'!C12</f>
        <v>BVS, a.s., Mimoriadne zhoršenie vôd, 053/015/2016/BA</v>
      </c>
      <c r="D8" s="820">
        <f>'Procesy - AS IS'!D14+'Procesy - ∆'!D35</f>
        <v>0</v>
      </c>
      <c r="E8" s="752">
        <f>'Procesy - AS IS'!E14+'Procesy - ∆'!E35</f>
        <v>0</v>
      </c>
      <c r="F8" s="752">
        <f>'Procesy - AS IS'!F14+'Procesy - ∆'!F35</f>
        <v>0</v>
      </c>
      <c r="G8" s="752">
        <f>'Procesy - AS IS'!G14+'Procesy - ∆'!G35</f>
        <v>12</v>
      </c>
      <c r="H8" s="752" t="s">
        <v>523</v>
      </c>
      <c r="I8" s="752" t="s">
        <v>523</v>
      </c>
      <c r="J8" s="752" t="s">
        <v>523</v>
      </c>
      <c r="K8" s="752" t="s">
        <v>523</v>
      </c>
      <c r="L8" s="752" t="s">
        <v>523</v>
      </c>
      <c r="M8" s="752" t="s">
        <v>523</v>
      </c>
      <c r="N8" s="752">
        <f>'Procesy - AS IS'!N14+'Procesy - ∆'!N35</f>
        <v>0</v>
      </c>
      <c r="O8" s="752" t="s">
        <v>524</v>
      </c>
      <c r="P8" s="752">
        <f>'Procesy - AS IS'!P14+'Procesy - ∆'!P35</f>
        <v>4</v>
      </c>
      <c r="Q8" s="752">
        <f>'Procesy - AS IS'!Q14+'Procesy - ∆'!Q35</f>
        <v>0</v>
      </c>
      <c r="R8" s="752">
        <f>'Procesy - AS IS'!R14+'Procesy - ∆'!R35</f>
        <v>26.035602094240836</v>
      </c>
      <c r="S8" s="752">
        <f>'Procesy - AS IS'!S14+'Procesy - ∆'!S35</f>
        <v>13.403141361256544</v>
      </c>
      <c r="T8" s="752">
        <f>'Procesy - AS IS'!T14+'Procesy - ∆'!T35</f>
        <v>2.7895287958115182</v>
      </c>
      <c r="U8" s="752">
        <f>'Procesy - AS IS'!U14+'Procesy - ∆'!U35</f>
        <v>2.5130890052356021</v>
      </c>
      <c r="V8" s="752">
        <f>'Procesy - AS IS'!V14+'Procesy - ∆'!V35</f>
        <v>0.32500000000000001</v>
      </c>
      <c r="W8" s="752">
        <f>'Procesy - AS IS'!W14+'Procesy - ∆'!W35</f>
        <v>1.2251308900523559</v>
      </c>
      <c r="X8" s="752">
        <f>'Procesy - AS IS'!X14+'Procesy - ∆'!X35</f>
        <v>0</v>
      </c>
      <c r="Y8" s="752">
        <f>'Procesy - AS IS'!Y14+'Procesy - ∆'!Y35</f>
        <v>7.8408376963350772</v>
      </c>
      <c r="Z8" s="752">
        <f>'Procesy - AS IS'!Z14+'Procesy - ∆'!Z35</f>
        <v>0</v>
      </c>
      <c r="AA8" s="752">
        <f>'Procesy - AS IS'!AA14+'Procesy - ∆'!AA35</f>
        <v>0</v>
      </c>
      <c r="AB8" s="752">
        <f>'Procesy - AS IS'!AB14+'Procesy - ∆'!AB35</f>
        <v>0</v>
      </c>
      <c r="AC8" s="752">
        <f>'Procesy - AS IS'!AC14+'Procesy - ∆'!AC35</f>
        <v>0</v>
      </c>
      <c r="AD8" s="903">
        <f>SUM(D8:AC8)</f>
        <v>70.132329842931938</v>
      </c>
      <c r="AE8" s="940">
        <f>'Procesy - AS IS'!AG14+'Procesy - ∆'!AF35</f>
        <v>239.85371707561063</v>
      </c>
      <c r="AF8" s="941">
        <f>'Procesy - AS IS'!AH14+'Procesy - ∆'!AG35</f>
        <v>139.39142720100932</v>
      </c>
      <c r="AG8" s="939">
        <f>'Procesy - AS IS'!AI14+'Procesy - ∆'!AH35</f>
        <v>97.950732627736272</v>
      </c>
      <c r="AH8" s="794">
        <f>'Procesy - AS IS'!AJ14+'Procesy - ∆'!AI35</f>
        <v>0</v>
      </c>
      <c r="AN8" s="252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</row>
    <row r="9" spans="1:54" ht="43.2" x14ac:dyDescent="0.3">
      <c r="B9" s="256" t="str">
        <f>'Procesy - AS IS'!B15</f>
        <v>Meranie č. 4</v>
      </c>
      <c r="C9" s="749" t="str">
        <f>'Procesy - AS IS'!C15</f>
        <v>VOLKSWAGEN, SLOVAKIA, a.s., Prevencia závažných priemyselných havárií, 5220/2018</v>
      </c>
      <c r="D9" s="820">
        <f>'Procesy - AS IS'!D17+'Procesy - ∆'!D49</f>
        <v>0</v>
      </c>
      <c r="E9" s="752">
        <f>'Procesy - AS IS'!E17+'Procesy - ∆'!E49</f>
        <v>0</v>
      </c>
      <c r="F9" s="752">
        <f>'Procesy - AS IS'!F17+'Procesy - ∆'!F49</f>
        <v>3.2</v>
      </c>
      <c r="G9" s="752">
        <f>'Procesy - AS IS'!G17+'Procesy - ∆'!G49</f>
        <v>10.5</v>
      </c>
      <c r="H9" s="752" t="s">
        <v>523</v>
      </c>
      <c r="I9" s="752" t="s">
        <v>523</v>
      </c>
      <c r="J9" s="752" t="s">
        <v>523</v>
      </c>
      <c r="K9" s="752" t="s">
        <v>523</v>
      </c>
      <c r="L9" s="752" t="s">
        <v>523</v>
      </c>
      <c r="M9" s="752" t="s">
        <v>523</v>
      </c>
      <c r="N9" s="752">
        <f>'Procesy - AS IS'!N17+'Procesy - ∆'!N49</f>
        <v>0</v>
      </c>
      <c r="O9" s="752" t="s">
        <v>524</v>
      </c>
      <c r="P9" s="752">
        <f>'Procesy - AS IS'!P17+'Procesy - ∆'!P49</f>
        <v>4</v>
      </c>
      <c r="Q9" s="752">
        <f>'Procesy - AS IS'!Q17+'Procesy - ∆'!Q49</f>
        <v>0</v>
      </c>
      <c r="R9" s="752">
        <f>'Procesy - AS IS'!R17+'Procesy - ∆'!R49</f>
        <v>5.9661016949152543</v>
      </c>
      <c r="S9" s="752">
        <f>'Procesy - AS IS'!S17+'Procesy - ∆'!S49</f>
        <v>26.033898305084744</v>
      </c>
      <c r="T9" s="752">
        <f>'Procesy - AS IS'!T17+'Procesy - ∆'!T49</f>
        <v>2.3864406779661018</v>
      </c>
      <c r="U9" s="752">
        <f>'Procesy - AS IS'!U17+'Procesy - ∆'!U49</f>
        <v>4.8813559322033901</v>
      </c>
      <c r="V9" s="752">
        <f>'Procesy - AS IS'!V17+'Procesy - ∆'!V49</f>
        <v>5.2</v>
      </c>
      <c r="W9" s="752">
        <f>'Procesy - AS IS'!W17+'Procesy - ∆'!W49</f>
        <v>0.55932203389830515</v>
      </c>
      <c r="X9" s="752">
        <f>'Procesy - AS IS'!X17+'Procesy - ∆'!X49</f>
        <v>0</v>
      </c>
      <c r="Y9" s="752">
        <f>'Procesy - AS IS'!Y17+'Procesy - ∆'!Y49</f>
        <v>3.579661016949153</v>
      </c>
      <c r="Z9" s="752">
        <f>'Procesy - AS IS'!Z17+'Procesy - ∆'!Z49</f>
        <v>0.10847457627118644</v>
      </c>
      <c r="AA9" s="752">
        <f>'Procesy - AS IS'!AA17+'Procesy - ∆'!AA49</f>
        <v>4.4067796610169491E-2</v>
      </c>
      <c r="AB9" s="752">
        <f>'Procesy - AS IS'!AB17+'Procesy - ∆'!AB49</f>
        <v>0.50847457627118642</v>
      </c>
      <c r="AC9" s="752">
        <f>'Procesy - AS IS'!AC17+'Procesy - ∆'!AC49</f>
        <v>1.5186440677966102</v>
      </c>
      <c r="AD9" s="903">
        <f>SUM(D9:AC9)</f>
        <v>68.486440677966101</v>
      </c>
      <c r="AE9" s="940">
        <f>'Procesy - AS IS'!AG17+'Procesy - ∆'!AF49</f>
        <v>75.372583958225064</v>
      </c>
      <c r="AF9" s="941">
        <f>'Procesy - AS IS'!AH17+'Procesy - ∆'!AG49</f>
        <v>14.052515653228403</v>
      </c>
      <c r="AG9" s="939">
        <f>'Procesy - AS IS'!AI17+'Procesy - ∆'!AH49</f>
        <v>14.052515653228403</v>
      </c>
      <c r="AH9" s="794">
        <f>'Procesy - AS IS'!AJ17+'Procesy - ∆'!AI49</f>
        <v>2.5550028460415275</v>
      </c>
      <c r="AN9" s="252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</row>
    <row r="10" spans="1:54" ht="15" thickBot="1" x14ac:dyDescent="0.35">
      <c r="B10" s="839"/>
      <c r="C10" s="840" t="s">
        <v>535</v>
      </c>
      <c r="D10" s="841"/>
      <c r="E10" s="841"/>
      <c r="F10" s="841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842"/>
      <c r="T10" s="842"/>
      <c r="U10" s="842"/>
      <c r="V10" s="842"/>
      <c r="W10" s="842"/>
      <c r="X10" s="842"/>
      <c r="Y10" s="842"/>
      <c r="Z10" s="842"/>
      <c r="AA10" s="842"/>
      <c r="AB10" s="842"/>
      <c r="AC10" s="842"/>
      <c r="AD10" s="904"/>
      <c r="AE10" s="940">
        <f>'Procesy - AS IS'!AG18+'Procesy - ∆'!AF63</f>
        <v>4.9729973828046248</v>
      </c>
      <c r="AF10" s="941">
        <f>'Procesy - AS IS'!AH18+'Procesy - ∆'!AG63</f>
        <v>0</v>
      </c>
      <c r="AG10" s="939">
        <f>'Procesy - AS IS'!AI18+'Procesy - ∆'!AH63</f>
        <v>0</v>
      </c>
      <c r="AH10" s="794">
        <f>'Procesy - AS IS'!AJ18+'Procesy - ∆'!AI63</f>
        <v>0</v>
      </c>
      <c r="AN10" s="252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</row>
    <row r="11" spans="1:54" x14ac:dyDescent="0.3">
      <c r="B11" s="756" t="s">
        <v>456</v>
      </c>
      <c r="C11" s="757" t="s">
        <v>436</v>
      </c>
      <c r="D11" s="872">
        <f>D12*$AE12/($AE11-$AE17)+D13*$AE13/($AE11-$AE17)+D14*$AE14/($AE11-$AE17)+D15*$AE15/($AE11-$AE17)+D16*$AE16/($AE11-$AE17)</f>
        <v>0</v>
      </c>
      <c r="E11" s="750">
        <f>E12*$AE12/($AE11-$AE17)+E13*$AE13/($AE11-$AE17)+E14*$AE14/($AE11-$AE17)+E15*$AE15/($AE11-$AE17)+E16*$AE16/($AE11-$AE17)</f>
        <v>0</v>
      </c>
      <c r="F11" s="750">
        <f>F12*$AE12/($AE11-$AE17)+F13*$AE13/($AE11-$AE17)+F14*$AE14/($AE11-$AE17)+F15*$AE15/($AE11-$AE17)+F16*$AE16/($AE11-$AE17)</f>
        <v>0</v>
      </c>
      <c r="G11" s="760">
        <f>G12*$AE12/($AE11-$AE17)+G13*$AE13/($AE11-$AE17)+G14*$AE14/($AE11-$AE17)+G15*$AE15/($AE11-$AE17)+G16*$AE16/($AE11-$AE17)</f>
        <v>4.884334398740763</v>
      </c>
      <c r="H11" s="753"/>
      <c r="I11" s="753"/>
      <c r="J11" s="753"/>
      <c r="K11" s="753"/>
      <c r="L11" s="760">
        <f>L12*$AE12/($AE11-$AE17)+L13*$AE13/($AE11-$AE17)+L14*$AE14/($AE11-$AE17)+L15*$AE15/($AE11-$AE17)+L16*$AE16/($AE11-$AE17)</f>
        <v>0.20000000000000004</v>
      </c>
      <c r="M11" s="760">
        <f>M12*$AE12/($AE11-$AE17)+M13*$AE13/($AE11-$AE17)+M14*$AE14/($AE11-$AE17)+M15*$AE15/($AE11-$AE17)+M16*$AE16/($AE11-$AE17)</f>
        <v>0.79257486191715409</v>
      </c>
      <c r="N11" s="750">
        <f>N12*$AE12/($AE11-$AE17)+N13*$AE13/($AE11-$AE17)+N14*$AE14/($AE11-$AE17)+N15*$AE15/($AE11-$AE17)+N16*$AE16/($AE11-$AE17)</f>
        <v>0</v>
      </c>
      <c r="O11" s="750"/>
      <c r="P11" s="750">
        <f t="shared" ref="P11:AC11" si="3">P12*$AE12/($AE11-$AE17)+P13*$AE13/($AE11-$AE17)+P14*$AE14/($AE11-$AE17)+P15*$AE15/($AE11-$AE17)+P16*$AE16/($AE11-$AE17)</f>
        <v>0.48526077553911506</v>
      </c>
      <c r="Q11" s="750">
        <f t="shared" si="3"/>
        <v>0</v>
      </c>
      <c r="R11" s="750">
        <f t="shared" si="3"/>
        <v>3.1041124155992104</v>
      </c>
      <c r="S11" s="750">
        <f t="shared" si="3"/>
        <v>5.9841392602896253</v>
      </c>
      <c r="T11" s="750">
        <f t="shared" si="3"/>
        <v>0.52422299589626453</v>
      </c>
      <c r="U11" s="750">
        <f t="shared" si="3"/>
        <v>4.7596768838860273</v>
      </c>
      <c r="V11" s="750">
        <f t="shared" si="3"/>
        <v>0.48366781586359064</v>
      </c>
      <c r="W11" s="750">
        <f t="shared" si="3"/>
        <v>0.10914151817280521</v>
      </c>
      <c r="X11" s="750">
        <f t="shared" si="3"/>
        <v>0</v>
      </c>
      <c r="Y11" s="750">
        <f t="shared" si="3"/>
        <v>0.93134095507460446</v>
      </c>
      <c r="Z11" s="750">
        <f t="shared" si="3"/>
        <v>8.0266407569497503E-2</v>
      </c>
      <c r="AA11" s="750">
        <f t="shared" si="3"/>
        <v>5.1092830030317532E-2</v>
      </c>
      <c r="AB11" s="750">
        <f t="shared" si="3"/>
        <v>0.12133482309060382</v>
      </c>
      <c r="AC11" s="751">
        <f t="shared" si="3"/>
        <v>0.87295816120426473</v>
      </c>
      <c r="AD11" s="909">
        <f>SUM(AD12:AD16)</f>
        <v>127.30390774430251</v>
      </c>
      <c r="AE11" s="942">
        <f>SUM(AE12:AE17)</f>
        <v>692.86622819079707</v>
      </c>
      <c r="AF11" s="848">
        <f>SUM(AF12:AF17)</f>
        <v>131.25050794285357</v>
      </c>
      <c r="AG11" s="939">
        <v>175</v>
      </c>
      <c r="AH11" s="795">
        <v>19</v>
      </c>
      <c r="AN11" s="252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</row>
    <row r="12" spans="1:54" ht="28.8" x14ac:dyDescent="0.3">
      <c r="B12" s="808" t="str">
        <f>'Procesy - AS IS'!B20</f>
        <v>Meranie č. 5</v>
      </c>
      <c r="C12" s="769" t="str">
        <f>'Procesy - AS IS'!C20</f>
        <v>Modelovaný spis kontroly veľkého zdroja diskusiou s inšpektorom</v>
      </c>
      <c r="D12" s="820">
        <f>'Procesy - AS IS'!D22+'Procesy - ∆'!D65</f>
        <v>0</v>
      </c>
      <c r="E12" s="752">
        <f>'Procesy - AS IS'!E22+'Procesy - ∆'!E65</f>
        <v>0</v>
      </c>
      <c r="F12" s="752">
        <f>'Procesy - AS IS'!F22+'Procesy - ∆'!F65</f>
        <v>0</v>
      </c>
      <c r="G12" s="752">
        <f>'Procesy - AS IS'!G22+'Procesy - ∆'!G65</f>
        <v>9</v>
      </c>
      <c r="H12" s="752" t="s">
        <v>523</v>
      </c>
      <c r="I12" s="752" t="s">
        <v>523</v>
      </c>
      <c r="J12" s="752" t="s">
        <v>523</v>
      </c>
      <c r="K12" s="752" t="s">
        <v>523</v>
      </c>
      <c r="L12" s="752">
        <f>'Procesy - AS IS'!L22+'Procesy - ∆'!L65</f>
        <v>0.2</v>
      </c>
      <c r="M12" s="752">
        <f>'Procesy - AS IS'!M22+'Procesy - ∆'!M65</f>
        <v>0.28125</v>
      </c>
      <c r="N12" s="752">
        <f>'Procesy - AS IS'!N22+'Procesy - ∆'!N65</f>
        <v>0</v>
      </c>
      <c r="O12" s="752" t="s">
        <v>524</v>
      </c>
      <c r="P12" s="752">
        <f>'Procesy - AS IS'!P22+'Procesy - ∆'!P65</f>
        <v>1</v>
      </c>
      <c r="Q12" s="752">
        <f>'Procesy - AS IS'!Q22+'Procesy - ∆'!Q65</f>
        <v>0</v>
      </c>
      <c r="R12" s="752">
        <f>'Procesy - AS IS'!R22+'Procesy - ∆'!R65</f>
        <v>7.1314285714285717</v>
      </c>
      <c r="S12" s="752">
        <f>'Procesy - AS IS'!S22+'Procesy - ∆'!S65</f>
        <v>13.668571428571429</v>
      </c>
      <c r="T12" s="752">
        <f>'Procesy - AS IS'!T22+'Procesy - ∆'!T65</f>
        <v>1.0971428571428572</v>
      </c>
      <c r="U12" s="752">
        <f>'Procesy - AS IS'!U22+'Procesy - ∆'!U65</f>
        <v>3.9428571428571431</v>
      </c>
      <c r="V12" s="752">
        <f>'Procesy - AS IS'!V22+'Procesy - ∆'!V65</f>
        <v>0.32500000000000001</v>
      </c>
      <c r="W12" s="752">
        <f>'Procesy - AS IS'!W22+'Procesy - ∆'!W65</f>
        <v>0.23571428571428571</v>
      </c>
      <c r="X12" s="752">
        <f>'Procesy - AS IS'!X22+'Procesy - ∆'!X65</f>
        <v>0</v>
      </c>
      <c r="Y12" s="752">
        <f>'Procesy - AS IS'!Y22+'Procesy - ∆'!Y65</f>
        <v>2.0114285714285716</v>
      </c>
      <c r="Z12" s="752">
        <f>'Procesy - AS IS'!Z22+'Procesy - ∆'!Z65</f>
        <v>0.18285714285714286</v>
      </c>
      <c r="AA12" s="752">
        <f>'Procesy - AS IS'!AA22+'Procesy - ∆'!AA65</f>
        <v>7.4285714285714288E-2</v>
      </c>
      <c r="AB12" s="752">
        <f>'Procesy - AS IS'!AB22+'Procesy - ∆'!AB65</f>
        <v>0</v>
      </c>
      <c r="AC12" s="752">
        <f>'Procesy - AS IS'!AC22+'Procesy - ∆'!AC65</f>
        <v>1.6</v>
      </c>
      <c r="AD12" s="903">
        <f>SUM(D12:AC12)</f>
        <v>40.750535714285725</v>
      </c>
      <c r="AE12" s="940">
        <f>'Procesy - AS IS'!AG22+'Procesy - ∆'!AF65</f>
        <v>44.59757321332323</v>
      </c>
      <c r="AF12" s="941">
        <f>'Procesy - AS IS'!AH22+'Procesy - ∆'!AG65</f>
        <v>15.290596530282249</v>
      </c>
      <c r="AG12" s="939">
        <f>'Procesy - AS IS'!AI22+'Procesy - ∆'!AH65</f>
        <v>14.016380152758728</v>
      </c>
      <c r="AH12" s="794">
        <f>'Procesy - AS IS'!AJ22+'Procesy - ∆'!AI65</f>
        <v>2.5484327550470418</v>
      </c>
      <c r="AN12" s="252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</row>
    <row r="13" spans="1:54" ht="72" x14ac:dyDescent="0.3">
      <c r="B13" s="256" t="str">
        <f>'Procesy - AS IS'!B23</f>
        <v>Meranie č. 6</v>
      </c>
      <c r="C13" s="749" t="str">
        <f>'Procesy - AS IS'!C23</f>
        <v>TERMMING, a.s. Bratislava, Kotolňa Železničná - kotle na spaľovanie biomasy, 5809-24751/33/2018/Fia, Kontrola stredného zdroja, 5809-24751/33/2018/Fia</v>
      </c>
      <c r="D13" s="820">
        <f>'Procesy - AS IS'!D25+'Procesy - ∆'!D79</f>
        <v>0</v>
      </c>
      <c r="E13" s="752">
        <f>'Procesy - AS IS'!E25+'Procesy - ∆'!E79</f>
        <v>0</v>
      </c>
      <c r="F13" s="752">
        <f>'Procesy - AS IS'!F25+'Procesy - ∆'!F79</f>
        <v>0</v>
      </c>
      <c r="G13" s="752">
        <f>'Procesy - AS IS'!G25+'Procesy - ∆'!G79</f>
        <v>4.5</v>
      </c>
      <c r="H13" s="752" t="s">
        <v>523</v>
      </c>
      <c r="I13" s="752" t="s">
        <v>523</v>
      </c>
      <c r="J13" s="752" t="s">
        <v>523</v>
      </c>
      <c r="K13" s="752" t="s">
        <v>523</v>
      </c>
      <c r="L13" s="752">
        <f>'Procesy - AS IS'!L25+'Procesy - ∆'!L79</f>
        <v>0.2</v>
      </c>
      <c r="M13" s="752">
        <f>'Procesy - AS IS'!M25+'Procesy - ∆'!M79</f>
        <v>0.28125</v>
      </c>
      <c r="N13" s="752">
        <f>'Procesy - AS IS'!N25+'Procesy - ∆'!N79</f>
        <v>0</v>
      </c>
      <c r="O13" s="752" t="s">
        <v>524</v>
      </c>
      <c r="P13" s="752">
        <f>'Procesy - AS IS'!P25+'Procesy - ∆'!P79</f>
        <v>1</v>
      </c>
      <c r="Q13" s="752">
        <f>'Procesy - AS IS'!Q25+'Procesy - ∆'!Q79</f>
        <v>0</v>
      </c>
      <c r="R13" s="752">
        <f>'Procesy - AS IS'!R25+'Procesy - ∆'!R79</f>
        <v>7.2727272727272716</v>
      </c>
      <c r="S13" s="752">
        <f>'Procesy - AS IS'!S25+'Procesy - ∆'!S79</f>
        <v>13.527272727272727</v>
      </c>
      <c r="T13" s="752">
        <f>'Procesy - AS IS'!T25+'Procesy - ∆'!T79</f>
        <v>1.1188811188811187</v>
      </c>
      <c r="U13" s="752">
        <f>'Procesy - AS IS'!U25+'Procesy - ∆'!U79</f>
        <v>3.9020979020979025</v>
      </c>
      <c r="V13" s="752">
        <f>'Procesy - AS IS'!V25+'Procesy - ∆'!V79</f>
        <v>0.32500000000000001</v>
      </c>
      <c r="W13" s="752">
        <f>'Procesy - AS IS'!W25+'Procesy - ∆'!W79</f>
        <v>0.23601398601398602</v>
      </c>
      <c r="X13" s="752">
        <f>'Procesy - AS IS'!X25+'Procesy - ∆'!X79</f>
        <v>0</v>
      </c>
      <c r="Y13" s="752">
        <f>'Procesy - AS IS'!Y25+'Procesy - ∆'!Y79</f>
        <v>2.0139860139860142</v>
      </c>
      <c r="Z13" s="752">
        <f>'Procesy - AS IS'!Z25+'Procesy - ∆'!Z79</f>
        <v>0.15664335664335666</v>
      </c>
      <c r="AA13" s="752">
        <f>'Procesy - AS IS'!AA25+'Procesy - ∆'!AA79</f>
        <v>6.363636363636363E-2</v>
      </c>
      <c r="AB13" s="752">
        <f>'Procesy - AS IS'!AB25+'Procesy - ∆'!AB79</f>
        <v>0</v>
      </c>
      <c r="AC13" s="752">
        <f>'Procesy - AS IS'!AC25+'Procesy - ∆'!AC79</f>
        <v>1.3706293706293706</v>
      </c>
      <c r="AD13" s="903">
        <f>SUM(D13:AC13)</f>
        <v>35.968138111888116</v>
      </c>
      <c r="AE13" s="940">
        <f>'Procesy - AS IS'!AG25+'Procesy - ∆'!AF79</f>
        <v>181.15686110108621</v>
      </c>
      <c r="AF13" s="941">
        <f>'Procesy - AS IS'!AH25+'Procesy - ∆'!AG79</f>
        <v>63.341559825554619</v>
      </c>
      <c r="AG13" s="939">
        <f>'Procesy - AS IS'!AI25+'Procesy - ∆'!AH79</f>
        <v>57.00740384299916</v>
      </c>
      <c r="AH13" s="794">
        <f>'Procesy - AS IS'!AJ25+'Procesy - ∆'!AI79</f>
        <v>8.867818375577647</v>
      </c>
      <c r="AN13" s="252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</row>
    <row r="14" spans="1:54" ht="28.8" x14ac:dyDescent="0.3">
      <c r="B14" s="256" t="str">
        <f>'Procesy - AS IS'!B26</f>
        <v>Meranie č. 7</v>
      </c>
      <c r="C14" s="749" t="str">
        <f>'Procesy - AS IS'!C26</f>
        <v>BIO-plus, s.r.o., Kontrola kvality palív, 1020/2018</v>
      </c>
      <c r="D14" s="820">
        <f>'Procesy - AS IS'!D28+'Procesy - ∆'!D93</f>
        <v>0</v>
      </c>
      <c r="E14" s="752">
        <f>'Procesy - AS IS'!E28+'Procesy - ∆'!E93</f>
        <v>0</v>
      </c>
      <c r="F14" s="752">
        <f>'Procesy - AS IS'!F28+'Procesy - ∆'!F93</f>
        <v>0</v>
      </c>
      <c r="G14" s="752">
        <f>'Procesy - AS IS'!G28+'Procesy - ∆'!G93</f>
        <v>3</v>
      </c>
      <c r="H14" s="752" t="s">
        <v>523</v>
      </c>
      <c r="I14" s="752" t="s">
        <v>523</v>
      </c>
      <c r="J14" s="752" t="s">
        <v>523</v>
      </c>
      <c r="K14" s="752" t="s">
        <v>523</v>
      </c>
      <c r="L14" s="752">
        <f>'Procesy - AS IS'!L28+'Procesy - ∆'!L93</f>
        <v>0.2</v>
      </c>
      <c r="M14" s="752">
        <f>'Procesy - AS IS'!M28+'Procesy - ∆'!M93</f>
        <v>0</v>
      </c>
      <c r="N14" s="752">
        <f>'Procesy - AS IS'!N28+'Procesy - ∆'!N93</f>
        <v>0</v>
      </c>
      <c r="O14" s="752" t="s">
        <v>524</v>
      </c>
      <c r="P14" s="752">
        <f>'Procesy - AS IS'!P28+'Procesy - ∆'!P93</f>
        <v>0</v>
      </c>
      <c r="Q14" s="752">
        <f>'Procesy - AS IS'!Q28+'Procesy - ∆'!Q93</f>
        <v>0</v>
      </c>
      <c r="R14" s="752">
        <f>'Procesy - AS IS'!R28+'Procesy - ∆'!R93</f>
        <v>0.46783625730994149</v>
      </c>
      <c r="S14" s="752">
        <f>'Procesy - AS IS'!S28+'Procesy - ∆'!S93</f>
        <v>0</v>
      </c>
      <c r="T14" s="752">
        <f>'Procesy - AS IS'!T28+'Procesy - ∆'!T93</f>
        <v>0.1871345029239766</v>
      </c>
      <c r="U14" s="752">
        <f>'Procesy - AS IS'!U28+'Procesy - ∆'!U93</f>
        <v>5.8245614035087723</v>
      </c>
      <c r="V14" s="752">
        <f>'Procesy - AS IS'!V28+'Procesy - ∆'!V93</f>
        <v>0.65</v>
      </c>
      <c r="W14" s="752">
        <f>'Procesy - AS IS'!W28+'Procesy - ∆'!W93</f>
        <v>3.5087719298245612E-2</v>
      </c>
      <c r="X14" s="752">
        <f>'Procesy - AS IS'!X28+'Procesy - ∆'!X93</f>
        <v>0</v>
      </c>
      <c r="Y14" s="752">
        <f>'Procesy - AS IS'!Y28+'Procesy - ∆'!Y93</f>
        <v>0.29941520467836258</v>
      </c>
      <c r="Z14" s="752">
        <f>'Procesy - AS IS'!Z28+'Procesy - ∆'!Z93</f>
        <v>3.7426900584795322E-2</v>
      </c>
      <c r="AA14" s="752">
        <f>'Procesy - AS IS'!AA28+'Procesy - ∆'!AA93</f>
        <v>6.0818713450292397E-2</v>
      </c>
      <c r="AB14" s="752">
        <f>'Procesy - AS IS'!AB28+'Procesy - ∆'!AB93</f>
        <v>0.29941520467836258</v>
      </c>
      <c r="AC14" s="752">
        <f>'Procesy - AS IS'!AC28+'Procesy - ∆'!AC93</f>
        <v>0.74853801169590639</v>
      </c>
      <c r="AD14" s="903">
        <f>SUM(D14:AC14)</f>
        <v>11.810233918128656</v>
      </c>
      <c r="AE14" s="940">
        <f>'Procesy - AS IS'!AG28+'Procesy - ∆'!AF93</f>
        <v>227.40870490950957</v>
      </c>
      <c r="AF14" s="941">
        <f>'Procesy - AS IS'!AH28+'Procesy - ∆'!AG93</f>
        <v>6.649377336535367</v>
      </c>
      <c r="AG14" s="939">
        <f>'Procesy - AS IS'!AI28+'Procesy - ∆'!AH93</f>
        <v>5.3195018692282936</v>
      </c>
      <c r="AH14" s="794">
        <f>'Procesy - AS IS'!AJ28+'Procesy - ∆'!AI93</f>
        <v>5.3195018692282936</v>
      </c>
      <c r="AN14" s="252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</row>
    <row r="15" spans="1:54" ht="57.6" x14ac:dyDescent="0.3">
      <c r="B15" s="256" t="str">
        <f>'Procesy - AS IS'!B29</f>
        <v>Meranie č. 8</v>
      </c>
      <c r="C15" s="749" t="str">
        <f>'Procesy - AS IS'!C29</f>
        <v>3U, s.r.o. Bratislava - výrobca regulovaných výrobkov, Kontrola kvality regulovaných výrobkov, 6765-25699/33/2018/Tom</v>
      </c>
      <c r="D15" s="820">
        <f>'Procesy - AS IS'!D31+'Procesy - ∆'!D107</f>
        <v>0</v>
      </c>
      <c r="E15" s="752">
        <f>'Procesy - AS IS'!E31+'Procesy - ∆'!E107</f>
        <v>0</v>
      </c>
      <c r="F15" s="752">
        <f>'Procesy - AS IS'!F31+'Procesy - ∆'!F107</f>
        <v>0</v>
      </c>
      <c r="G15" s="752">
        <f>'Procesy - AS IS'!G31+'Procesy - ∆'!G107</f>
        <v>2.25</v>
      </c>
      <c r="H15" s="752" t="s">
        <v>523</v>
      </c>
      <c r="I15" s="752" t="s">
        <v>523</v>
      </c>
      <c r="J15" s="752" t="s">
        <v>523</v>
      </c>
      <c r="K15" s="752" t="s">
        <v>523</v>
      </c>
      <c r="L15" s="752">
        <f>'Procesy - AS IS'!L31+'Procesy - ∆'!L107</f>
        <v>0.2</v>
      </c>
      <c r="M15" s="752">
        <f>'Procesy - AS IS'!M31+'Procesy - ∆'!M107</f>
        <v>2.25</v>
      </c>
      <c r="N15" s="752">
        <f>'Procesy - AS IS'!N31+'Procesy - ∆'!N107</f>
        <v>0</v>
      </c>
      <c r="O15" s="752" t="s">
        <v>524</v>
      </c>
      <c r="P15" s="752">
        <f>'Procesy - AS IS'!P31+'Procesy - ∆'!P107</f>
        <v>1</v>
      </c>
      <c r="Q15" s="752">
        <f>'Procesy - AS IS'!Q31+'Procesy - ∆'!Q107</f>
        <v>0</v>
      </c>
      <c r="R15" s="752">
        <f>'Procesy - AS IS'!R31+'Procesy - ∆'!R107</f>
        <v>0</v>
      </c>
      <c r="S15" s="752">
        <f>'Procesy - AS IS'!S31+'Procesy - ∆'!S107</f>
        <v>6.4</v>
      </c>
      <c r="T15" s="752">
        <f>'Procesy - AS IS'!T31+'Procesy - ∆'!T107</f>
        <v>0</v>
      </c>
      <c r="U15" s="752">
        <f>'Procesy - AS IS'!U31+'Procesy - ∆'!U107</f>
        <v>6</v>
      </c>
      <c r="V15" s="752">
        <f>'Procesy - AS IS'!V31+'Procesy - ∆'!V107</f>
        <v>0.65</v>
      </c>
      <c r="W15" s="752">
        <f>'Procesy - AS IS'!W31+'Procesy - ∆'!W107</f>
        <v>0</v>
      </c>
      <c r="X15" s="752">
        <f>'Procesy - AS IS'!X31+'Procesy - ∆'!X107</f>
        <v>0</v>
      </c>
      <c r="Y15" s="752">
        <f>'Procesy - AS IS'!Y31+'Procesy - ∆'!Y107</f>
        <v>0</v>
      </c>
      <c r="Z15" s="752">
        <f>'Procesy - AS IS'!Z31+'Procesy - ∆'!Z107</f>
        <v>0</v>
      </c>
      <c r="AA15" s="752">
        <f>'Procesy - AS IS'!AA31+'Procesy - ∆'!AA107</f>
        <v>0</v>
      </c>
      <c r="AB15" s="752">
        <f>'Procesy - AS IS'!AB31+'Procesy - ∆'!AB107</f>
        <v>0</v>
      </c>
      <c r="AC15" s="752">
        <f>'Procesy - AS IS'!AC31+'Procesy - ∆'!AC107</f>
        <v>0</v>
      </c>
      <c r="AD15" s="903">
        <f>SUM(D15:AC15)</f>
        <v>18.75</v>
      </c>
      <c r="AE15" s="940">
        <f>'Procesy - AS IS'!AG31+'Procesy - ∆'!AF107</f>
        <v>46.559999999999995</v>
      </c>
      <c r="AF15" s="941">
        <f>'Procesy - AS IS'!AH31+'Procesy - ∆'!AG107</f>
        <v>0</v>
      </c>
      <c r="AG15" s="939">
        <f>'Procesy - AS IS'!AI31+'Procesy - ∆'!AH107</f>
        <v>0</v>
      </c>
      <c r="AH15" s="794">
        <f>'Procesy - AS IS'!AJ31+'Procesy - ∆'!AI107</f>
        <v>0</v>
      </c>
      <c r="AN15" s="252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</row>
    <row r="16" spans="1:54" ht="72" x14ac:dyDescent="0.3">
      <c r="B16" s="808" t="str">
        <f>'Procesy - AS IS'!B32</f>
        <v>Meranie č. 9</v>
      </c>
      <c r="C16" s="769" t="str">
        <f>'Procesy - AS IS'!C32</f>
        <v>MAKOS, a.s. Bardejov, Kontrola emisie skleníkových plynov, kontrola: 4828-15367/53/2017/Kve
spravne konanie: 7490-33731/Ulb
odvolanie: 1110-2247/Šte</v>
      </c>
      <c r="D16" s="820">
        <f>'Procesy - AS IS'!D34+'Procesy - ∆'!D121</f>
        <v>0</v>
      </c>
      <c r="E16" s="752">
        <f>'Procesy - AS IS'!E34+'Procesy - ∆'!E121</f>
        <v>0</v>
      </c>
      <c r="F16" s="752">
        <f>'Procesy - AS IS'!F34+'Procesy - ∆'!F121</f>
        <v>0</v>
      </c>
      <c r="G16" s="752">
        <f>'Procesy - AS IS'!G34+'Procesy - ∆'!G121</f>
        <v>12</v>
      </c>
      <c r="H16" s="752" t="s">
        <v>523</v>
      </c>
      <c r="I16" s="752" t="s">
        <v>523</v>
      </c>
      <c r="J16" s="752" t="s">
        <v>523</v>
      </c>
      <c r="K16" s="752" t="s">
        <v>523</v>
      </c>
      <c r="L16" s="752">
        <f>'Procesy - AS IS'!L34+'Procesy - ∆'!L121</f>
        <v>0.2</v>
      </c>
      <c r="M16" s="752">
        <f>'Procesy - AS IS'!M34+'Procesy - ∆'!M121</f>
        <v>4.5</v>
      </c>
      <c r="N16" s="752">
        <f>'Procesy - AS IS'!N34+'Procesy - ∆'!N121</f>
        <v>0</v>
      </c>
      <c r="O16" s="752" t="s">
        <v>524</v>
      </c>
      <c r="P16" s="752">
        <f>'Procesy - AS IS'!P34+'Procesy - ∆'!P121</f>
        <v>0</v>
      </c>
      <c r="Q16" s="752">
        <f>'Procesy - AS IS'!Q34+'Procesy - ∆'!Q121</f>
        <v>0</v>
      </c>
      <c r="R16" s="752">
        <f>'Procesy - AS IS'!R34+'Procesy - ∆'!R121</f>
        <v>0</v>
      </c>
      <c r="S16" s="752">
        <f>'Procesy - AS IS'!S34+'Procesy - ∆'!S121</f>
        <v>0</v>
      </c>
      <c r="T16" s="752">
        <f>'Procesy - AS IS'!T34+'Procesy - ∆'!T121</f>
        <v>0</v>
      </c>
      <c r="U16" s="752">
        <f>'Procesy - AS IS'!U34+'Procesy - ∆'!U121</f>
        <v>3</v>
      </c>
      <c r="V16" s="752">
        <f>'Procesy - AS IS'!V34+'Procesy - ∆'!V121</f>
        <v>0.32500000000000001</v>
      </c>
      <c r="W16" s="752">
        <f>'Procesy - AS IS'!W34+'Procesy - ∆'!W121</f>
        <v>0</v>
      </c>
      <c r="X16" s="752">
        <f>'Procesy - AS IS'!X34+'Procesy - ∆'!X121</f>
        <v>0</v>
      </c>
      <c r="Y16" s="752">
        <f>'Procesy - AS IS'!Y34+'Procesy - ∆'!Y121</f>
        <v>0</v>
      </c>
      <c r="Z16" s="752">
        <f>'Procesy - AS IS'!Z34+'Procesy - ∆'!Z121</f>
        <v>0</v>
      </c>
      <c r="AA16" s="752">
        <f>'Procesy - AS IS'!AA34+'Procesy - ∆'!AA121</f>
        <v>0</v>
      </c>
      <c r="AB16" s="752">
        <f>'Procesy - AS IS'!AB34+'Procesy - ∆'!AB121</f>
        <v>0</v>
      </c>
      <c r="AC16" s="752">
        <f>'Procesy - AS IS'!AC34+'Procesy - ∆'!AC121</f>
        <v>0</v>
      </c>
      <c r="AD16" s="903">
        <f>SUM(D16:AC16)</f>
        <v>20.024999999999999</v>
      </c>
      <c r="AE16" s="940">
        <f>'Procesy - AS IS'!AG34+'Procesy - ∆'!AF121</f>
        <v>61.448189762796495</v>
      </c>
      <c r="AF16" s="941">
        <f>'Procesy - AS IS'!AH34+'Procesy - ∆'!AG121</f>
        <v>0</v>
      </c>
      <c r="AG16" s="939">
        <f>'Procesy - AS IS'!AI34+'Procesy - ∆'!AH121</f>
        <v>0</v>
      </c>
      <c r="AH16" s="794">
        <f>'Procesy - AS IS'!AJ34+'Procesy - ∆'!AI121</f>
        <v>0</v>
      </c>
      <c r="AN16" s="252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</row>
    <row r="17" spans="2:54" ht="15" thickBot="1" x14ac:dyDescent="0.35">
      <c r="B17" s="839"/>
      <c r="C17" s="840" t="s">
        <v>535</v>
      </c>
      <c r="D17" s="841"/>
      <c r="E17" s="841"/>
      <c r="F17" s="841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904"/>
      <c r="AE17" s="943">
        <f>'Procesy - AS IS'!AG35+'Procesy - ∆'!AF135</f>
        <v>131.69489920408162</v>
      </c>
      <c r="AF17" s="944">
        <f>'Procesy - AS IS'!AH35+'Procesy - ∆'!AG135</f>
        <v>45.968974250481324</v>
      </c>
      <c r="AG17" s="944">
        <f>'Procesy - AS IS'!AI35+'Procesy - ∆'!AH135</f>
        <v>40.999355412591449</v>
      </c>
      <c r="AH17" s="846">
        <f>'Procesy - AS IS'!AJ35+'Procesy - ∆'!AI135</f>
        <v>7.4544282568348095</v>
      </c>
      <c r="AN17" s="252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</row>
    <row r="18" spans="2:54" x14ac:dyDescent="0.3">
      <c r="B18" s="756" t="str">
        <f>'Procesy - AS IS'!B36</f>
        <v>Zdroj 3</v>
      </c>
      <c r="C18" s="757" t="str">
        <f>'Procesy - AS IS'!C36</f>
        <v>Inšpekcia odpadového hospodárstva</v>
      </c>
      <c r="D18" s="872">
        <f>D19*$AE19/($AE18-$AE24)+D20*$AE19/($AE18-$AE24)+D21*$AE19/($AE18-$AE24)+D22*$AE19/($AE18-$AE24)+D23*$AE19/($AE18-$AE24)</f>
        <v>0</v>
      </c>
      <c r="E18" s="750">
        <f>E19*$AE19/($AE18-$AE24)+E20*$AE19/($AE18-$AE24)+E21*$AE19/($AE18-$AE24)+E22*$AE19/($AE18-$AE24)+E23*$AE19/($AE18-$AE24)</f>
        <v>0</v>
      </c>
      <c r="F18" s="750">
        <f>F19*$AE19/($AE18-$AE24)+F20*$AE19/($AE18-$AE24)+F21*$AE19/($AE18-$AE24)+F22*$AE19/($AE18-$AE24)+F23*$AE19/($AE18-$AE24)</f>
        <v>0</v>
      </c>
      <c r="G18" s="760">
        <f>G19*$AE19/($AE18-$AE24)+G20*$AE19/($AE18-$AE24)+G21*$AE19/($AE18-$AE24)+G22*$AE19/($AE18-$AE24)+G23*$AE19/($AE18-$AE24)</f>
        <v>14.338079619547727</v>
      </c>
      <c r="H18" s="753"/>
      <c r="I18" s="753"/>
      <c r="J18" s="753"/>
      <c r="K18" s="753"/>
      <c r="L18" s="760">
        <f>L19*$AE19/($AE18-$AE24)+L20*$AE19/($AE18-$AE24)+L21*$AE19/($AE18-$AE24)+L22*$AE19/($AE18-$AE24)+L23*$AE19/($AE18-$AE24)</f>
        <v>0.3901518263822511</v>
      </c>
      <c r="M18" s="760">
        <f>M19*$AE19/($AE18-$AE24)+M20*$AE19/($AE18-$AE24)+M21*$AE19/($AE18-$AE24)+M22*$AE19/($AE18-$AE24)+M23*$AE19/($AE18-$AE24)</f>
        <v>1.5362228163801137</v>
      </c>
      <c r="N18" s="760">
        <f>N19*$AE19/($AE18-$AE24)+N20*$AE19/($AE18-$AE24)+N21*$AE19/($AE18-$AE24)+N22*$AE19/($AE18-$AE24)+N23*$AE19/($AE18-$AE24)</f>
        <v>0</v>
      </c>
      <c r="O18" s="750"/>
      <c r="P18" s="750">
        <f t="shared" ref="P18:AC18" si="4">P19*$AE19/($AE18-$AE24)+P20*$AE19/($AE18-$AE24)+P21*$AE19/($AE18-$AE24)+P22*$AE19/($AE18-$AE24)+P23*$AE19/($AE18-$AE24)</f>
        <v>21.068198624641557</v>
      </c>
      <c r="Q18" s="750">
        <f t="shared" si="4"/>
        <v>0</v>
      </c>
      <c r="R18" s="750">
        <f t="shared" si="4"/>
        <v>16.880754932420214</v>
      </c>
      <c r="S18" s="750">
        <f t="shared" si="4"/>
        <v>32.395240322628553</v>
      </c>
      <c r="T18" s="750">
        <f t="shared" si="4"/>
        <v>7.3199465552898841</v>
      </c>
      <c r="U18" s="750">
        <f t="shared" si="4"/>
        <v>1.7541317535101726</v>
      </c>
      <c r="V18" s="750">
        <f t="shared" si="4"/>
        <v>0.63399671787115808</v>
      </c>
      <c r="W18" s="750">
        <f t="shared" si="4"/>
        <v>0.38702557149397193</v>
      </c>
      <c r="X18" s="750">
        <f t="shared" si="4"/>
        <v>0</v>
      </c>
      <c r="Y18" s="750">
        <f t="shared" si="4"/>
        <v>5.0394238113509733</v>
      </c>
      <c r="Z18" s="750">
        <f t="shared" si="4"/>
        <v>3.4739053090693708E-2</v>
      </c>
      <c r="AA18" s="750">
        <f t="shared" si="4"/>
        <v>5.3696518602974509E-2</v>
      </c>
      <c r="AB18" s="750">
        <f t="shared" si="4"/>
        <v>0.71442613837836255</v>
      </c>
      <c r="AC18" s="750">
        <f t="shared" si="4"/>
        <v>1.5298414319899063</v>
      </c>
      <c r="AD18" s="909">
        <f>SUM(AD19:AD23)</f>
        <v>266.75737150493364</v>
      </c>
      <c r="AE18" s="942">
        <f>SUM(AE19:AE24)</f>
        <v>678.09132310659209</v>
      </c>
      <c r="AF18" s="848">
        <f>SUM(AF19:AF24)</f>
        <v>188.03492700545553</v>
      </c>
      <c r="AG18" s="939">
        <v>175</v>
      </c>
      <c r="AH18" s="795">
        <v>19</v>
      </c>
      <c r="AN18" s="252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</row>
    <row r="19" spans="2:54" ht="57.6" x14ac:dyDescent="0.3">
      <c r="B19" s="808" t="str">
        <f>'Procesy - AS IS'!B37</f>
        <v>Meranie č. 10</v>
      </c>
      <c r="C19" s="769" t="str">
        <f>'Procesy - AS IS'!C37</f>
        <v>Jozef Gregor, EKO TRANS, Pezinok, prevádzka Pod gaštanmi, Bratislava, Kontrola pôvodcov a držiteľov odpadov, 4087/2018</v>
      </c>
      <c r="D19" s="820">
        <f>'Procesy - AS IS'!D39+'Procesy - ∆'!D137</f>
        <v>0</v>
      </c>
      <c r="E19" s="752">
        <f>'Procesy - AS IS'!E39+'Procesy - ∆'!E137</f>
        <v>0</v>
      </c>
      <c r="F19" s="752">
        <f>'Procesy - AS IS'!F39+'Procesy - ∆'!F137</f>
        <v>0</v>
      </c>
      <c r="G19" s="752">
        <f>'Procesy - AS IS'!G39+'Procesy - ∆'!G137</f>
        <v>2.25</v>
      </c>
      <c r="H19" s="752" t="s">
        <v>523</v>
      </c>
      <c r="I19" s="752" t="s">
        <v>523</v>
      </c>
      <c r="J19" s="752" t="s">
        <v>523</v>
      </c>
      <c r="K19" s="752" t="s">
        <v>523</v>
      </c>
      <c r="L19" s="752">
        <f>'Procesy - AS IS'!L39+'Procesy - ∆'!L137</f>
        <v>0.4</v>
      </c>
      <c r="M19" s="752">
        <f>'Procesy - AS IS'!M39+'Procesy - ∆'!M137</f>
        <v>2.25</v>
      </c>
      <c r="N19" s="752">
        <f>'Procesy - AS IS'!N39+'Procesy - ∆'!N137</f>
        <v>0</v>
      </c>
      <c r="O19" s="752" t="s">
        <v>524</v>
      </c>
      <c r="P19" s="752">
        <f>'Procesy - AS IS'!P39+'Procesy - ∆'!P137</f>
        <v>8</v>
      </c>
      <c r="Q19" s="752">
        <f>'Procesy - AS IS'!Q39+'Procesy - ∆'!Q137</f>
        <v>0</v>
      </c>
      <c r="R19" s="752">
        <f>'Procesy - AS IS'!R39+'Procesy - ∆'!R137</f>
        <v>5.9608851797380034</v>
      </c>
      <c r="S19" s="752">
        <f>'Procesy - AS IS'!S39+'Procesy - ∆'!S137</f>
        <v>13.239114820261998</v>
      </c>
      <c r="T19" s="752">
        <f>'Procesy - AS IS'!T39+'Procesy - ∆'!T137</f>
        <v>3.9739234531586689</v>
      </c>
      <c r="U19" s="752">
        <f>'Procesy - AS IS'!U39+'Procesy - ∆'!U137</f>
        <v>0.51715292266648427</v>
      </c>
      <c r="V19" s="752">
        <f>'Procesy - AS IS'!V39+'Procesy - ∆'!V137</f>
        <v>0.32500000000000001</v>
      </c>
      <c r="W19" s="752">
        <f>'Procesy - AS IS'!W39+'Procesy - ∆'!W137</f>
        <v>0.21301775147928995</v>
      </c>
      <c r="X19" s="752">
        <f>'Procesy - AS IS'!X39+'Procesy - ∆'!X137</f>
        <v>0</v>
      </c>
      <c r="Y19" s="752">
        <f>'Procesy - AS IS'!Y39+'Procesy - ∆'!Y137</f>
        <v>2.4236686390532545</v>
      </c>
      <c r="Z19" s="752">
        <f>'Procesy - AS IS'!Z39+'Procesy - ∆'!Z137</f>
        <v>2.3668639053254437E-2</v>
      </c>
      <c r="AA19" s="752">
        <f>'Procesy - AS IS'!AA39+'Procesy - ∆'!AA137</f>
        <v>3.8461538461538464E-2</v>
      </c>
      <c r="AB19" s="752">
        <f>'Procesy - AS IS'!AB39+'Procesy - ∆'!AB137</f>
        <v>0.5325443786982248</v>
      </c>
      <c r="AC19" s="752">
        <f>'Procesy - AS IS'!AC39+'Procesy - ∆'!AC137</f>
        <v>0.94674556213017735</v>
      </c>
      <c r="AD19" s="903">
        <f>SUM(D19:AC19)</f>
        <v>41.094182884700899</v>
      </c>
      <c r="AE19" s="940">
        <f>'Procesy - AS IS'!AG39+'Procesy - ∆'!AF137</f>
        <v>205.43109824262245</v>
      </c>
      <c r="AF19" s="941">
        <f>'Procesy - AS IS'!AH39+'Procesy - ∆'!AG137</f>
        <v>63.778707758945316</v>
      </c>
      <c r="AG19" s="939">
        <f>'Procesy - AS IS'!AI39+'Procesy - ∆'!AH137</f>
        <v>38.898196116946266</v>
      </c>
      <c r="AH19" s="794">
        <f>'Procesy - AS IS'!AJ39+'Procesy - ∆'!AI137</f>
        <v>6.0778431432728537</v>
      </c>
      <c r="AN19" s="252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</row>
    <row r="20" spans="2:54" ht="57.6" x14ac:dyDescent="0.3">
      <c r="B20" s="256" t="str">
        <f>'Procesy - AS IS'!B40</f>
        <v>Meranie č. 11</v>
      </c>
      <c r="C20" s="749" t="str">
        <f>'Procesy - AS IS'!C40</f>
        <v>Alfafin Plus, s.r.o., prevádzka Lehnice, Kontrola prevádzkovateľov zariadení na zber odpadov, 5566/2018
8159/2018</v>
      </c>
      <c r="D20" s="820">
        <f>'Procesy - AS IS'!D42+'Procesy - ∆'!D151</f>
        <v>0</v>
      </c>
      <c r="E20" s="752">
        <f>'Procesy - AS IS'!E42+'Procesy - ∆'!E151</f>
        <v>0</v>
      </c>
      <c r="F20" s="752">
        <f>'Procesy - AS IS'!F42+'Procesy - ∆'!F151</f>
        <v>0</v>
      </c>
      <c r="G20" s="752">
        <f>'Procesy - AS IS'!G42+'Procesy - ∆'!G151</f>
        <v>2.25</v>
      </c>
      <c r="H20" s="752" t="s">
        <v>523</v>
      </c>
      <c r="I20" s="752" t="s">
        <v>523</v>
      </c>
      <c r="J20" s="752" t="s">
        <v>523</v>
      </c>
      <c r="K20" s="752" t="s">
        <v>523</v>
      </c>
      <c r="L20" s="752">
        <f>'Procesy - AS IS'!L42+'Procesy - ∆'!L151</f>
        <v>0</v>
      </c>
      <c r="M20" s="752">
        <f>'Procesy - AS IS'!M42+'Procesy - ∆'!M151</f>
        <v>0</v>
      </c>
      <c r="N20" s="752">
        <f>'Procesy - AS IS'!N42+'Procesy - ∆'!N151</f>
        <v>0</v>
      </c>
      <c r="O20" s="752" t="s">
        <v>524</v>
      </c>
      <c r="P20" s="752">
        <f>'Procesy - AS IS'!P42+'Procesy - ∆'!P151</f>
        <v>2</v>
      </c>
      <c r="Q20" s="752">
        <f>'Procesy - AS IS'!Q42+'Procesy - ∆'!Q151</f>
        <v>0</v>
      </c>
      <c r="R20" s="752">
        <f>'Procesy - AS IS'!R42+'Procesy - ∆'!R151</f>
        <v>4.9753114964675662</v>
      </c>
      <c r="S20" s="752">
        <f>'Procesy - AS IS'!S42+'Procesy - ∆'!S151</f>
        <v>7.8246885035324336</v>
      </c>
      <c r="T20" s="752">
        <f>'Procesy - AS IS'!T42+'Procesy - ∆'!T151</f>
        <v>4.9753114964675662</v>
      </c>
      <c r="U20" s="752">
        <f>'Procesy - AS IS'!U42+'Procesy - ∆'!U151</f>
        <v>0.45847784200385355</v>
      </c>
      <c r="V20" s="752">
        <f>'Procesy - AS IS'!V42+'Procesy - ∆'!V151</f>
        <v>0.32500000000000001</v>
      </c>
      <c r="W20" s="752">
        <f>'Procesy - AS IS'!W42+'Procesy - ∆'!W151</f>
        <v>0.27499999999999997</v>
      </c>
      <c r="X20" s="752">
        <f>'Procesy - AS IS'!X42+'Procesy - ∆'!X151</f>
        <v>0</v>
      </c>
      <c r="Y20" s="752">
        <f>'Procesy - AS IS'!Y42+'Procesy - ∆'!Y151</f>
        <v>3.1288888888888886</v>
      </c>
      <c r="Z20" s="752">
        <f>'Procesy - AS IS'!Z42+'Procesy - ∆'!Z151</f>
        <v>1.7777777777777778E-2</v>
      </c>
      <c r="AA20" s="752">
        <f>'Procesy - AS IS'!AA42+'Procesy - ∆'!AA151</f>
        <v>7.2222222222222228E-3</v>
      </c>
      <c r="AB20" s="752">
        <f>'Procesy - AS IS'!AB42+'Procesy - ∆'!AB151</f>
        <v>0.4</v>
      </c>
      <c r="AC20" s="752">
        <f>'Procesy - AS IS'!AC42+'Procesy - ∆'!AC151</f>
        <v>0.71111111111111114</v>
      </c>
      <c r="AD20" s="903">
        <f>SUM(D20:AC20)</f>
        <v>27.348789338471413</v>
      </c>
      <c r="AE20" s="940">
        <f>'Procesy - AS IS'!AG42+'Procesy - ∆'!AF151</f>
        <v>56.048914020491964</v>
      </c>
      <c r="AF20" s="941">
        <f>'Procesy - AS IS'!AH42+'Procesy - ∆'!AG151</f>
        <v>21.786000491459049</v>
      </c>
      <c r="AG20" s="939">
        <f>'Procesy - AS IS'!AI42+'Procesy - ∆'!AH151</f>
        <v>13.700845649453591</v>
      </c>
      <c r="AH20" s="794">
        <f>'Procesy - AS IS'!AJ42+'Procesy - ∆'!AI151</f>
        <v>1.2455314226775991</v>
      </c>
      <c r="AN20" s="252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</row>
    <row r="21" spans="2:54" ht="72" x14ac:dyDescent="0.3">
      <c r="B21" s="256" t="str">
        <f>'Procesy - AS IS'!B43</f>
        <v>Meranie č. 12</v>
      </c>
      <c r="C21" s="749" t="str">
        <f>'Procesy - AS IS'!C43</f>
        <v>BIOPRODUKT Dunajský Klátov, s.r.o., Dunajský Klátov, Kontrola prevádzkovateľov zariadení na zhodnocovanie odpadov, 3572/2018
8182/2018</v>
      </c>
      <c r="D21" s="820">
        <f>'Procesy - AS IS'!D45+'Procesy - ∆'!D165</f>
        <v>0</v>
      </c>
      <c r="E21" s="752">
        <f>'Procesy - AS IS'!E45+'Procesy - ∆'!E165</f>
        <v>0</v>
      </c>
      <c r="F21" s="752">
        <f>'Procesy - AS IS'!F45+'Procesy - ∆'!F165</f>
        <v>0</v>
      </c>
      <c r="G21" s="752">
        <f>'Procesy - AS IS'!G45+'Procesy - ∆'!G165</f>
        <v>2.25</v>
      </c>
      <c r="H21" s="752" t="s">
        <v>523</v>
      </c>
      <c r="I21" s="752" t="s">
        <v>523</v>
      </c>
      <c r="J21" s="752" t="s">
        <v>523</v>
      </c>
      <c r="K21" s="752" t="s">
        <v>523</v>
      </c>
      <c r="L21" s="752">
        <f>'Procesy - AS IS'!L45+'Procesy - ∆'!L165</f>
        <v>0</v>
      </c>
      <c r="M21" s="752">
        <f>'Procesy - AS IS'!M45+'Procesy - ∆'!M165</f>
        <v>1.125</v>
      </c>
      <c r="N21" s="752">
        <f>'Procesy - AS IS'!N45+'Procesy - ∆'!N165</f>
        <v>0</v>
      </c>
      <c r="O21" s="752" t="s">
        <v>524</v>
      </c>
      <c r="P21" s="752">
        <f>'Procesy - AS IS'!P45+'Procesy - ∆'!P165</f>
        <v>2</v>
      </c>
      <c r="Q21" s="752">
        <f>'Procesy - AS IS'!Q45+'Procesy - ∆'!Q165</f>
        <v>0</v>
      </c>
      <c r="R21" s="752">
        <f>'Procesy - AS IS'!R45+'Procesy - ∆'!R165</f>
        <v>3.7308670520231217</v>
      </c>
      <c r="S21" s="752">
        <f>'Procesy - AS IS'!S45+'Procesy - ∆'!S165</f>
        <v>7.3686705202312144</v>
      </c>
      <c r="T21" s="752">
        <f>'Procesy - AS IS'!T45+'Procesy - ∆'!T165</f>
        <v>0</v>
      </c>
      <c r="U21" s="752">
        <f>'Procesy - AS IS'!U45+'Procesy - ∆'!U165</f>
        <v>0.53139450867052018</v>
      </c>
      <c r="V21" s="752">
        <f>'Procesy - AS IS'!V45+'Procesy - ∆'!V165</f>
        <v>0.32500000000000001</v>
      </c>
      <c r="W21" s="752">
        <f>'Procesy - AS IS'!W45+'Procesy - ∆'!W165</f>
        <v>0.19687499999999997</v>
      </c>
      <c r="X21" s="752">
        <f>'Procesy - AS IS'!X45+'Procesy - ∆'!X165</f>
        <v>0</v>
      </c>
      <c r="Y21" s="752">
        <f>'Procesy - AS IS'!Y45+'Procesy - ∆'!Y165</f>
        <v>2.2399999999999998</v>
      </c>
      <c r="Z21" s="752">
        <f>'Procesy - AS IS'!Z45+'Procesy - ∆'!Z165</f>
        <v>0.02</v>
      </c>
      <c r="AA21" s="752">
        <f>'Procesy - AS IS'!AA45+'Procesy - ∆'!AA165</f>
        <v>3.2500000000000001E-2</v>
      </c>
      <c r="AB21" s="752">
        <f>'Procesy - AS IS'!AB45+'Procesy - ∆'!AB165</f>
        <v>0.48000000000000009</v>
      </c>
      <c r="AC21" s="752">
        <f>'Procesy - AS IS'!AC45+'Procesy - ∆'!AC165</f>
        <v>0.8</v>
      </c>
      <c r="AD21" s="903">
        <f>SUM(D21:AC21)</f>
        <v>21.10030708092485</v>
      </c>
      <c r="AE21" s="940">
        <f>'Procesy - AS IS'!AG45+'Procesy - ∆'!AF165</f>
        <v>49.895857678152716</v>
      </c>
      <c r="AF21" s="941">
        <f>'Procesy - AS IS'!AH45+'Procesy - ∆'!AG165</f>
        <v>14.54334464405116</v>
      </c>
      <c r="AG21" s="939">
        <f>'Procesy - AS IS'!AI45+'Procesy - ∆'!AH165</f>
        <v>8.731775093676724</v>
      </c>
      <c r="AH21" s="794">
        <f>'Procesy - AS IS'!AJ45+'Procesy - ∆'!AI165</f>
        <v>1.2473964419538177</v>
      </c>
      <c r="AN21" s="252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</row>
    <row r="22" spans="2:54" ht="43.2" x14ac:dyDescent="0.3">
      <c r="B22" s="256" t="str">
        <f>'Procesy - AS IS'!B46</f>
        <v>Meranie č. 13</v>
      </c>
      <c r="C22" s="749" t="str">
        <f>'Procesy - AS IS'!C46</f>
        <v>SLOVMAS, a.s., Bratislava, Kontrola povinností rozšírenej zodpovednosti výrobcov, 3970/2017</v>
      </c>
      <c r="D22" s="820">
        <f>'Procesy - AS IS'!D48+'Procesy - ∆'!D179</f>
        <v>0</v>
      </c>
      <c r="E22" s="752">
        <f>'Procesy - AS IS'!E48+'Procesy - ∆'!E179</f>
        <v>0</v>
      </c>
      <c r="F22" s="752">
        <f>'Procesy - AS IS'!F48+'Procesy - ∆'!F179</f>
        <v>0</v>
      </c>
      <c r="G22" s="752">
        <f>'Procesy - AS IS'!G48+'Procesy - ∆'!G179</f>
        <v>18</v>
      </c>
      <c r="H22" s="752" t="s">
        <v>523</v>
      </c>
      <c r="I22" s="752" t="s">
        <v>523</v>
      </c>
      <c r="J22" s="752" t="s">
        <v>523</v>
      </c>
      <c r="K22" s="752" t="s">
        <v>523</v>
      </c>
      <c r="L22" s="752">
        <f>'Procesy - AS IS'!L48+'Procesy - ∆'!L179</f>
        <v>0.4</v>
      </c>
      <c r="M22" s="752">
        <f>'Procesy - AS IS'!M48+'Procesy - ∆'!M179</f>
        <v>0</v>
      </c>
      <c r="N22" s="752">
        <f>'Procesy - AS IS'!N48+'Procesy - ∆'!N179</f>
        <v>0</v>
      </c>
      <c r="O22" s="752" t="s">
        <v>524</v>
      </c>
      <c r="P22" s="752">
        <f>'Procesy - AS IS'!P48+'Procesy - ∆'!P179</f>
        <v>40</v>
      </c>
      <c r="Q22" s="752">
        <f>'Procesy - AS IS'!Q48+'Procesy - ∆'!Q179</f>
        <v>0</v>
      </c>
      <c r="R22" s="752">
        <f>'Procesy - AS IS'!R48+'Procesy - ∆'!R179</f>
        <v>22.437424384997982</v>
      </c>
      <c r="S22" s="752">
        <f>'Procesy - AS IS'!S48+'Procesy - ∆'!S179</f>
        <v>41.562575615002018</v>
      </c>
      <c r="T22" s="752">
        <f>'Procesy - AS IS'!T48+'Procesy - ∆'!T179</f>
        <v>6.7312273154993942</v>
      </c>
      <c r="U22" s="752">
        <f>'Procesy - AS IS'!U48+'Procesy - ∆'!U179</f>
        <v>1.4611842989649146</v>
      </c>
      <c r="V22" s="752">
        <f>'Procesy - AS IS'!V48+'Procesy - ∆'!V179</f>
        <v>0.32500000000000001</v>
      </c>
      <c r="W22" s="752">
        <f>'Procesy - AS IS'!W48+'Procesy - ∆'!W179</f>
        <v>0.23546511627906977</v>
      </c>
      <c r="X22" s="752">
        <f>'Procesy - AS IS'!X48+'Procesy - ∆'!X179</f>
        <v>0</v>
      </c>
      <c r="Y22" s="752">
        <f>'Procesy - AS IS'!Y48+'Procesy - ∆'!Y179</f>
        <v>2.6790697674418604</v>
      </c>
      <c r="Z22" s="752">
        <f>'Procesy - AS IS'!Z48+'Procesy - ∆'!Z179</f>
        <v>1.8604651162790697E-2</v>
      </c>
      <c r="AA22" s="752">
        <f>'Procesy - AS IS'!AA48+'Procesy - ∆'!AA179</f>
        <v>3.0232558139534883E-2</v>
      </c>
      <c r="AB22" s="752">
        <f>'Procesy - AS IS'!AB48+'Procesy - ∆'!AB179</f>
        <v>0.41860465116279066</v>
      </c>
      <c r="AC22" s="752">
        <f>'Procesy - AS IS'!AC48+'Procesy - ∆'!AC179</f>
        <v>0.7441860465116279</v>
      </c>
      <c r="AD22" s="903">
        <f>SUM(D22:AC22)</f>
        <v>135.04357440516199</v>
      </c>
      <c r="AE22" s="940">
        <f>'Procesy - AS IS'!AG48+'Procesy - ∆'!AF179</f>
        <v>102.26444412623808</v>
      </c>
      <c r="AF22" s="941">
        <f>'Procesy - AS IS'!AH48+'Procesy - ∆'!AG179</f>
        <v>35.852355193067467</v>
      </c>
      <c r="AG22" s="939">
        <f>'Procesy - AS IS'!AI48+'Procesy - ∆'!AH179</f>
        <v>21.404185979910295</v>
      </c>
      <c r="AH22" s="794">
        <f>'Procesy - AS IS'!AJ48+'Procesy - ∆'!AI179</f>
        <v>2.3782428866566994</v>
      </c>
      <c r="AN22" s="252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</row>
    <row r="23" spans="2:54" ht="86.4" x14ac:dyDescent="0.3">
      <c r="B23" s="808" t="str">
        <f>'Procesy - AS IS'!B49</f>
        <v>Meranie č. 14</v>
      </c>
      <c r="C23" s="769" t="str">
        <f>'Procesy - AS IS'!C49</f>
        <v>HANYX s.r.o. Lučenec, Podnet - subjekt vykonáva mobilný zber a prepravu komunálneho odpadu bez zmluvy s mestom (Kontrola obcí pri nakladaní s komunálnym odpadom), 8212-36652/44/2017/Kov</v>
      </c>
      <c r="D23" s="820">
        <f>'Procesy - AS IS'!D51+'Procesy - ∆'!D193</f>
        <v>0</v>
      </c>
      <c r="E23" s="752">
        <f>'Procesy - AS IS'!E51+'Procesy - ∆'!E193</f>
        <v>0</v>
      </c>
      <c r="F23" s="752">
        <f>'Procesy - AS IS'!F51+'Procesy - ∆'!F193</f>
        <v>0</v>
      </c>
      <c r="G23" s="752">
        <f>'Procesy - AS IS'!G51+'Procesy - ∆'!G193</f>
        <v>12</v>
      </c>
      <c r="H23" s="752" t="s">
        <v>523</v>
      </c>
      <c r="I23" s="752" t="s">
        <v>523</v>
      </c>
      <c r="J23" s="752" t="s">
        <v>523</v>
      </c>
      <c r="K23" s="752" t="s">
        <v>523</v>
      </c>
      <c r="L23" s="752">
        <f>'Procesy - AS IS'!L51+'Procesy - ∆'!L193</f>
        <v>0.2</v>
      </c>
      <c r="M23" s="752">
        <f>'Procesy - AS IS'!M51+'Procesy - ∆'!M193</f>
        <v>0.5625</v>
      </c>
      <c r="N23" s="752">
        <f>'Procesy - AS IS'!N51+'Procesy - ∆'!N193</f>
        <v>0</v>
      </c>
      <c r="O23" s="752" t="s">
        <v>524</v>
      </c>
      <c r="P23" s="752">
        <f>'Procesy - AS IS'!P51+'Procesy - ∆'!P193</f>
        <v>2</v>
      </c>
      <c r="Q23" s="752">
        <f>'Procesy - AS IS'!Q51+'Procesy - ∆'!Q193</f>
        <v>0</v>
      </c>
      <c r="R23" s="752">
        <f>'Procesy - AS IS'!R51+'Procesy - ∆'!R193</f>
        <v>6.1626550626745473</v>
      </c>
      <c r="S23" s="752">
        <f>'Procesy - AS IS'!S51+'Procesy - ∆'!S193</f>
        <v>13.037344937325452</v>
      </c>
      <c r="T23" s="752">
        <f>'Procesy - AS IS'!T51+'Procesy - ∆'!T193</f>
        <v>3.0813275313372737</v>
      </c>
      <c r="U23" s="752">
        <f>'Procesy - AS IS'!U51+'Procesy - ∆'!U193</f>
        <v>1.5278138598428264</v>
      </c>
      <c r="V23" s="752">
        <f>'Procesy - AS IS'!V51+'Procesy - ∆'!V193</f>
        <v>0.32500000000000001</v>
      </c>
      <c r="W23" s="752">
        <f>'Procesy - AS IS'!W51+'Procesy - ∆'!W193</f>
        <v>7.1629213483146062E-2</v>
      </c>
      <c r="X23" s="752">
        <f>'Procesy - AS IS'!X51+'Procesy - ∆'!X193</f>
        <v>0</v>
      </c>
      <c r="Y23" s="752">
        <f>'Procesy - AS IS'!Y51+'Procesy - ∆'!Y193</f>
        <v>2.4449438202247191</v>
      </c>
      <c r="Z23" s="752">
        <f>'Procesy - AS IS'!Z51+'Procesy - ∆'!Z193</f>
        <v>8.9887640449438193E-3</v>
      </c>
      <c r="AA23" s="752">
        <f>'Procesy - AS IS'!AA51+'Procesy - ∆'!AA193</f>
        <v>2.9213483146067417E-2</v>
      </c>
      <c r="AB23" s="752">
        <f>'Procesy - AS IS'!AB51+'Procesy - ∆'!AB193</f>
        <v>0</v>
      </c>
      <c r="AC23" s="752">
        <f>'Procesy - AS IS'!AC51+'Procesy - ∆'!AC193</f>
        <v>0.7191011235955056</v>
      </c>
      <c r="AD23" s="903">
        <f>SUM(D23:AC23)</f>
        <v>42.170517795674485</v>
      </c>
      <c r="AE23" s="940">
        <f>'Procesy - AS IS'!AG51+'Procesy - ∆'!AF193</f>
        <v>112.90110994046911</v>
      </c>
      <c r="AF23" s="941">
        <f>'Procesy - AS IS'!AH51+'Procesy - ∆'!AG193</f>
        <v>36.238051914385814</v>
      </c>
      <c r="AG23" s="939">
        <f>'Procesy - AS IS'!AI51+'Procesy - ∆'!AH193</f>
        <v>21.565380550426685</v>
      </c>
      <c r="AH23" s="794">
        <f>'Procesy - AS IS'!AJ51+'Procesy - ∆'!AI193</f>
        <v>2.5371035941678453</v>
      </c>
      <c r="AN23" s="252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</row>
    <row r="24" spans="2:54" ht="15" thickBot="1" x14ac:dyDescent="0.35">
      <c r="B24" s="839"/>
      <c r="C24" s="840" t="s">
        <v>535</v>
      </c>
      <c r="D24" s="841"/>
      <c r="E24" s="841"/>
      <c r="F24" s="841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2"/>
      <c r="T24" s="842"/>
      <c r="U24" s="842"/>
      <c r="V24" s="842"/>
      <c r="W24" s="842"/>
      <c r="X24" s="842"/>
      <c r="Y24" s="842"/>
      <c r="Z24" s="842"/>
      <c r="AA24" s="842"/>
      <c r="AB24" s="842"/>
      <c r="AC24" s="842"/>
      <c r="AD24" s="904"/>
      <c r="AE24" s="943">
        <f>'Procesy - AS IS'!AG52+'Procesy - ∆'!AF207</f>
        <v>151.54989909861771</v>
      </c>
      <c r="AF24" s="944">
        <f>'Procesy - AS IS'!AH52+'Procesy - ∆'!AG207</f>
        <v>15.836467003546758</v>
      </c>
      <c r="AG24" s="944">
        <f>'Procesy - AS IS'!AI52+'Procesy - ∆'!AH207</f>
        <v>9.5937734198121447</v>
      </c>
      <c r="AH24" s="846">
        <f>'Procesy - AS IS'!AJ52+'Procesy - ∆'!AI207</f>
        <v>1.8740270968456478</v>
      </c>
      <c r="AN24" s="252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</row>
    <row r="25" spans="2:54" x14ac:dyDescent="0.3">
      <c r="B25" s="756" t="str">
        <f>'Procesy - AS IS'!B53</f>
        <v>Zdroj 4</v>
      </c>
      <c r="C25" s="757" t="str">
        <f>'Procesy - AS IS'!C53</f>
        <v>Inšpekcia ochrany prírody a krajiny</v>
      </c>
      <c r="D25" s="872">
        <f>D26*$AE26/($AE25-$AE28)+D27*$AE27/($AE25-$AE28)</f>
        <v>0</v>
      </c>
      <c r="E25" s="750">
        <f>E26*$AE26/($AE25-$AE28)+E27*$AE27/($AE25-$AE28)</f>
        <v>0</v>
      </c>
      <c r="F25" s="750">
        <f>F26*$AE26/($AE25-$AE28)+F27*$AE27/($AE25-$AE28)</f>
        <v>0</v>
      </c>
      <c r="G25" s="760">
        <f>G26*$AE26/($AE25-$AE28)+G27*$AE27/($AE25-$AE28)</f>
        <v>3</v>
      </c>
      <c r="H25" s="753"/>
      <c r="I25" s="753"/>
      <c r="J25" s="753"/>
      <c r="K25" s="753"/>
      <c r="L25" s="760">
        <f>L26*$AE26/($AE25-$AE28)+L27*$AE27/($AE25-$AE28)</f>
        <v>0.15922030090724398</v>
      </c>
      <c r="M25" s="760">
        <f>M26*$AE26/($AE25-$AE28)+M27*$AE27/($AE25-$AE28)</f>
        <v>0</v>
      </c>
      <c r="N25" s="750">
        <f>N26*$AE26/($AE25-$AE28)+N27*$AE27/($AE25-$AE28)</f>
        <v>0</v>
      </c>
      <c r="O25" s="750"/>
      <c r="P25" s="750">
        <f t="shared" ref="P25:AC25" si="5">P26*$AE26/($AE25-$AE28)+P27*$AE27/($AE25-$AE28)</f>
        <v>2.5922030090724397</v>
      </c>
      <c r="Q25" s="750">
        <f t="shared" si="5"/>
        <v>0</v>
      </c>
      <c r="R25" s="750">
        <f t="shared" si="5"/>
        <v>11.695658061196443</v>
      </c>
      <c r="S25" s="750">
        <f t="shared" si="5"/>
        <v>0.35895018808744195</v>
      </c>
      <c r="T25" s="750">
        <f t="shared" si="5"/>
        <v>5.2925977429506981</v>
      </c>
      <c r="U25" s="750">
        <f t="shared" si="5"/>
        <v>0.52935186322327576</v>
      </c>
      <c r="V25" s="750">
        <f t="shared" si="5"/>
        <v>0.32500000000000001</v>
      </c>
      <c r="W25" s="750">
        <f t="shared" si="5"/>
        <v>0.12121069871870961</v>
      </c>
      <c r="X25" s="750">
        <f t="shared" si="5"/>
        <v>0</v>
      </c>
      <c r="Y25" s="750">
        <f t="shared" si="5"/>
        <v>4.9207044842479828</v>
      </c>
      <c r="Z25" s="750">
        <f t="shared" si="5"/>
        <v>1.5486764203848102E-2</v>
      </c>
      <c r="AA25" s="750">
        <f t="shared" si="5"/>
        <v>2.5165991831253162E-2</v>
      </c>
      <c r="AB25" s="750">
        <f t="shared" si="5"/>
        <v>0.3190437577408447</v>
      </c>
      <c r="AC25" s="751">
        <f t="shared" si="5"/>
        <v>2.1800111153714496</v>
      </c>
      <c r="AD25" s="909">
        <f>SUM(AD26:AD27)</f>
        <v>69.821704460793441</v>
      </c>
      <c r="AE25" s="942">
        <f>SUM(AE26:AE28)</f>
        <v>642.03279719043212</v>
      </c>
      <c r="AF25" s="848">
        <f>SUM(AF26:AF28)</f>
        <v>353.96055555316707</v>
      </c>
      <c r="AG25" s="939">
        <v>175</v>
      </c>
      <c r="AH25" s="795">
        <v>19</v>
      </c>
      <c r="AN25" s="252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</row>
    <row r="26" spans="2:54" ht="28.8" x14ac:dyDescent="0.3">
      <c r="B26" s="808" t="str">
        <f>'Procesy - AS IS'!B54</f>
        <v>Meranie č. 15</v>
      </c>
      <c r="C26" s="769" t="str">
        <f>'Procesy - AS IS'!C54</f>
        <v>Eko-Donau s.r.o., Preverenie legálnosti výrubu drevín, 5442/2018</v>
      </c>
      <c r="D26" s="820">
        <f>'Procesy - AS IS'!D56+'Procesy - ∆'!D209</f>
        <v>0</v>
      </c>
      <c r="E26" s="752">
        <f>'Procesy - AS IS'!E56+'Procesy - ∆'!E209</f>
        <v>0</v>
      </c>
      <c r="F26" s="752">
        <f>'Procesy - AS IS'!F56+'Procesy - ∆'!F209</f>
        <v>0</v>
      </c>
      <c r="G26" s="752">
        <f>'Procesy - AS IS'!G56+'Procesy - ∆'!G209</f>
        <v>3</v>
      </c>
      <c r="H26" s="752" t="s">
        <v>523</v>
      </c>
      <c r="I26" s="752" t="s">
        <v>523</v>
      </c>
      <c r="J26" s="752" t="s">
        <v>523</v>
      </c>
      <c r="K26" s="752" t="s">
        <v>523</v>
      </c>
      <c r="L26" s="752">
        <f>'Procesy - AS IS'!L56+'Procesy - ∆'!L209</f>
        <v>0.2</v>
      </c>
      <c r="M26" s="752">
        <f>'Procesy - AS IS'!M56+'Procesy - ∆'!M209</f>
        <v>0</v>
      </c>
      <c r="N26" s="752">
        <f>'Procesy - AS IS'!N56+'Procesy - ∆'!N209</f>
        <v>0</v>
      </c>
      <c r="O26" s="752" t="s">
        <v>524</v>
      </c>
      <c r="P26" s="752">
        <f>'Procesy - AS IS'!P56+'Procesy - ∆'!P209</f>
        <v>3</v>
      </c>
      <c r="Q26" s="752">
        <f>'Procesy - AS IS'!Q56+'Procesy - ∆'!Q209</f>
        <v>0</v>
      </c>
      <c r="R26" s="752">
        <f>'Procesy - AS IS'!R56+'Procesy - ∆'!R209</f>
        <v>10.506537530266346</v>
      </c>
      <c r="S26" s="752">
        <f>'Procesy - AS IS'!S56+'Procesy - ∆'!S209</f>
        <v>0.36222760290556899</v>
      </c>
      <c r="T26" s="752">
        <f>'Procesy - AS IS'!T56+'Procesy - ∆'!T209</f>
        <v>5.2532687651331731</v>
      </c>
      <c r="U26" s="752">
        <f>'Procesy - AS IS'!U56+'Procesy - ∆'!U209</f>
        <v>0</v>
      </c>
      <c r="V26" s="752">
        <f>'Procesy - AS IS'!V56+'Procesy - ∆'!V209</f>
        <v>0.32500000000000001</v>
      </c>
      <c r="W26" s="752">
        <f>'Procesy - AS IS'!W56+'Procesy - ∆'!W209</f>
        <v>0.11531476997578692</v>
      </c>
      <c r="X26" s="752">
        <f>'Procesy - AS IS'!X56+'Procesy - ∆'!X209</f>
        <v>0</v>
      </c>
      <c r="Y26" s="752">
        <f>'Procesy - AS IS'!Y56+'Procesy - ∆'!Y209</f>
        <v>4.920096852300242</v>
      </c>
      <c r="Z26" s="752">
        <f>'Procesy - AS IS'!Z56+'Procesy - ∆'!Z209</f>
        <v>1.4527845036319612E-2</v>
      </c>
      <c r="AA26" s="752">
        <f>'Procesy - AS IS'!AA56+'Procesy - ∆'!AA209</f>
        <v>2.3607748184019367E-2</v>
      </c>
      <c r="AB26" s="752">
        <f>'Procesy - AS IS'!AB56+'Procesy - ∆'!AB209</f>
        <v>0.32687651331719125</v>
      </c>
      <c r="AC26" s="752">
        <f>'Procesy - AS IS'!AC56+'Procesy - ∆'!AC209</f>
        <v>1.1622276029055689</v>
      </c>
      <c r="AD26" s="903">
        <f>SUM(D26:AC26)</f>
        <v>29.209685230024213</v>
      </c>
      <c r="AE26" s="940">
        <f>'Procesy - AS IS'!AG56+'Procesy - ∆'!AF209</f>
        <v>511.12327580490069</v>
      </c>
      <c r="AF26" s="941">
        <f>'Procesy - AS IS'!AH56+'Procesy - ∆'!AG209</f>
        <v>279.69457707483673</v>
      </c>
      <c r="AG26" s="939">
        <f>'Procesy - AS IS'!AI56+'Procesy - ∆'!AH209</f>
        <v>157.17350127656752</v>
      </c>
      <c r="AH26" s="794">
        <f>'Procesy - AS IS'!AJ56+'Procesy - ∆'!AI209</f>
        <v>18.563799363374116</v>
      </c>
      <c r="AN26" s="252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</row>
    <row r="27" spans="2:54" ht="43.2" x14ac:dyDescent="0.3">
      <c r="B27" s="256" t="str">
        <f>'Procesy - AS IS'!B57</f>
        <v>Meranie č. 16</v>
      </c>
      <c r="C27" s="749" t="str">
        <f>'Procesy - AS IS'!C57</f>
        <v>Štefan Fraňo, Ochrana ohrozených druhov, ktoré sú predmetom dohovoru CITES, 7840/2017</v>
      </c>
      <c r="D27" s="820">
        <f>'Procesy - AS IS'!D59+'Procesy - ∆'!D223</f>
        <v>0</v>
      </c>
      <c r="E27" s="752">
        <f>'Procesy - AS IS'!E59+'Procesy - ∆'!E223</f>
        <v>0</v>
      </c>
      <c r="F27" s="752">
        <f>'Procesy - AS IS'!F59+'Procesy - ∆'!F223</f>
        <v>0</v>
      </c>
      <c r="G27" s="752">
        <f>'Procesy - AS IS'!G59+'Procesy - ∆'!G223</f>
        <v>3</v>
      </c>
      <c r="H27" s="752" t="s">
        <v>523</v>
      </c>
      <c r="I27" s="752" t="s">
        <v>523</v>
      </c>
      <c r="J27" s="752" t="s">
        <v>523</v>
      </c>
      <c r="K27" s="752" t="s">
        <v>523</v>
      </c>
      <c r="L27" s="752">
        <f>'Procesy - AS IS'!L59+'Procesy - ∆'!L223</f>
        <v>0</v>
      </c>
      <c r="M27" s="752">
        <f>'Procesy - AS IS'!M59+'Procesy - ∆'!M223</f>
        <v>0</v>
      </c>
      <c r="N27" s="752">
        <f>'Procesy - AS IS'!N59+'Procesy - ∆'!N223</f>
        <v>0</v>
      </c>
      <c r="O27" s="752" t="s">
        <v>524</v>
      </c>
      <c r="P27" s="752">
        <f>'Procesy - AS IS'!P59+'Procesy - ∆'!P223</f>
        <v>1</v>
      </c>
      <c r="Q27" s="752">
        <f>'Procesy - AS IS'!Q59+'Procesy - ∆'!Q223</f>
        <v>0</v>
      </c>
      <c r="R27" s="752">
        <f>'Procesy - AS IS'!R59+'Procesy - ∆'!R223</f>
        <v>16.338461538461537</v>
      </c>
      <c r="S27" s="752">
        <f>'Procesy - AS IS'!S59+'Procesy - ∆'!S223</f>
        <v>0.34615384615384615</v>
      </c>
      <c r="T27" s="752">
        <f>'Procesy - AS IS'!T59+'Procesy - ∆'!T223</f>
        <v>5.4461538461538463</v>
      </c>
      <c r="U27" s="752">
        <f>'Procesy - AS IS'!U59+'Procesy - ∆'!U223</f>
        <v>2.5961538461538463</v>
      </c>
      <c r="V27" s="752">
        <f>'Procesy - AS IS'!V59+'Procesy - ∆'!V223</f>
        <v>0.32500000000000001</v>
      </c>
      <c r="W27" s="752">
        <f>'Procesy - AS IS'!W59+'Procesy - ∆'!W223</f>
        <v>0.14423076923076925</v>
      </c>
      <c r="X27" s="752">
        <f>'Procesy - AS IS'!X59+'Procesy - ∆'!X223</f>
        <v>0</v>
      </c>
      <c r="Y27" s="752">
        <f>'Procesy - AS IS'!Y59+'Procesy - ∆'!Y223</f>
        <v>4.9230769230769234</v>
      </c>
      <c r="Z27" s="752">
        <f>'Procesy - AS IS'!Z59+'Procesy - ∆'!Z223</f>
        <v>1.9230769230769232E-2</v>
      </c>
      <c r="AA27" s="752">
        <f>'Procesy - AS IS'!AA59+'Procesy - ∆'!AA223</f>
        <v>3.125E-2</v>
      </c>
      <c r="AB27" s="752">
        <f>'Procesy - AS IS'!AB59+'Procesy - ∆'!AB223</f>
        <v>0.28846153846153849</v>
      </c>
      <c r="AC27" s="752">
        <f>'Procesy - AS IS'!AC59+'Procesy - ∆'!AC223</f>
        <v>6.1538461538461542</v>
      </c>
      <c r="AD27" s="903">
        <f>SUM(D27:AC27)</f>
        <v>40.612019230769228</v>
      </c>
      <c r="AE27" s="940">
        <f>'Procesy - AS IS'!AG59+'Procesy - ∆'!AF223</f>
        <v>130.90952138553149</v>
      </c>
      <c r="AF27" s="941">
        <f>'Procesy - AS IS'!AH59+'Procesy - ∆'!AG223</f>
        <v>74.265978478330354</v>
      </c>
      <c r="AG27" s="939">
        <f>'Procesy - AS IS'!AI59+'Procesy - ∆'!AH223</f>
        <v>50.349815917512103</v>
      </c>
      <c r="AH27" s="794">
        <f>'Procesy - AS IS'!AJ59+'Procesy - ∆'!AI223</f>
        <v>6.2937269896890129</v>
      </c>
      <c r="AN27" s="252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</row>
    <row r="28" spans="2:54" ht="15" thickBot="1" x14ac:dyDescent="0.35">
      <c r="B28" s="839"/>
      <c r="C28" s="840" t="s">
        <v>535</v>
      </c>
      <c r="D28" s="841"/>
      <c r="E28" s="841"/>
      <c r="F28" s="841"/>
      <c r="G28" s="842"/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904"/>
      <c r="AE28" s="943">
        <f>'Procesy - AS IS'!AG60+'Procesy - ∆'!AF237</f>
        <v>0</v>
      </c>
      <c r="AF28" s="944">
        <f>'Procesy - AS IS'!AH60+'Procesy - ∆'!AG237</f>
        <v>0</v>
      </c>
      <c r="AG28" s="944">
        <f>'Procesy - AS IS'!AI60+'Procesy - ∆'!AH237</f>
        <v>0</v>
      </c>
      <c r="AH28" s="846">
        <f>'Procesy - AS IS'!AJ60+'Procesy - ∆'!AI237</f>
        <v>0</v>
      </c>
      <c r="AN28" s="252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</row>
    <row r="29" spans="2:54" x14ac:dyDescent="0.3">
      <c r="B29" s="756" t="str">
        <f>'Procesy - AS IS'!B61</f>
        <v>Zdroj 5</v>
      </c>
      <c r="C29" s="757" t="str">
        <f>'Procesy - AS IS'!C61</f>
        <v>Inšpekcia biologickej bezpečnosti</v>
      </c>
      <c r="D29" s="872">
        <f>D30*$AE30/($AE29-$AE33)+D31*$AE31/($AE29-$AE33)+D32*$AE32/($AE29-$AE33)</f>
        <v>0</v>
      </c>
      <c r="E29" s="750">
        <f>E30*$AE30/($AE29-$AE33)+E31*$AE31/($AE29-$AE33)+E32*$AE32/($AE29-$AE33)</f>
        <v>8.0679154716812302</v>
      </c>
      <c r="F29" s="750">
        <f>F30*$AE30/($AE29-$AE33)+F31*$AE31/($AE29-$AE33)+F32*$AE32/($AE29-$AE33)</f>
        <v>4.5224480323391889</v>
      </c>
      <c r="G29" s="760">
        <f>G30*$AE30/($AE29-$AE33)+G31*$AE31/($AE29-$AE33)+G32*$AE32/($AE29-$AE33)</f>
        <v>5.0778255917306812</v>
      </c>
      <c r="H29" s="753"/>
      <c r="I29" s="753"/>
      <c r="J29" s="753"/>
      <c r="K29" s="753"/>
      <c r="L29" s="760">
        <f>L30*$AE30/($AE29-$AE33)+L31*$AE31/($AE29-$AE33)+L32*$AE32/($AE29-$AE33)</f>
        <v>3.0436329245298843</v>
      </c>
      <c r="M29" s="760">
        <f>M30*$AE30/($AE29-$AE33)+M31*$AE31/($AE29-$AE33)+M32*$AE32/($AE29-$AE33)</f>
        <v>0</v>
      </c>
      <c r="N29" s="750"/>
      <c r="O29" s="750"/>
      <c r="P29" s="750">
        <f t="shared" ref="P29:AC29" si="6">P30*$AE30/($AE29-$AE33)+P31*$AE31/($AE29-$AE33)+P32*$AE32/($AE29-$AE33)</f>
        <v>4.5686389561608642</v>
      </c>
      <c r="Q29" s="750">
        <f t="shared" si="6"/>
        <v>0</v>
      </c>
      <c r="R29" s="750">
        <f t="shared" si="6"/>
        <v>1.3086963427416192</v>
      </c>
      <c r="S29" s="750">
        <f t="shared" si="6"/>
        <v>3.4414334614786508</v>
      </c>
      <c r="T29" s="750">
        <f t="shared" si="6"/>
        <v>0.65434817137080958</v>
      </c>
      <c r="U29" s="750">
        <f t="shared" si="6"/>
        <v>2.8709641531587002</v>
      </c>
      <c r="V29" s="750">
        <f t="shared" si="6"/>
        <v>2.4517770430439527</v>
      </c>
      <c r="W29" s="750">
        <f t="shared" si="6"/>
        <v>0</v>
      </c>
      <c r="X29" s="750">
        <f t="shared" si="6"/>
        <v>0</v>
      </c>
      <c r="Y29" s="750">
        <f t="shared" si="6"/>
        <v>0</v>
      </c>
      <c r="Z29" s="750">
        <f t="shared" si="6"/>
        <v>0</v>
      </c>
      <c r="AA29" s="750">
        <f t="shared" si="6"/>
        <v>0</v>
      </c>
      <c r="AB29" s="750">
        <f t="shared" si="6"/>
        <v>0</v>
      </c>
      <c r="AC29" s="751">
        <f t="shared" si="6"/>
        <v>0</v>
      </c>
      <c r="AD29" s="909">
        <f>SUM(AD30:AD32)</f>
        <v>141.9859250398724</v>
      </c>
      <c r="AE29" s="942">
        <f>SUM(AE30:AE33)</f>
        <v>215.01685186823295</v>
      </c>
      <c r="AF29" s="848">
        <f>SUM(AF30:AF33)</f>
        <v>21.471898718618444</v>
      </c>
      <c r="AG29" s="939">
        <f>SUM(AG30:AG33)</f>
        <v>0</v>
      </c>
      <c r="AH29" s="795">
        <f>SUM(AH30:AH33)</f>
        <v>0</v>
      </c>
      <c r="AN29" s="252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</row>
    <row r="30" spans="2:54" ht="28.8" x14ac:dyDescent="0.3">
      <c r="B30" s="808" t="str">
        <f>'Procesy - AS IS'!B62</f>
        <v>Meranie č. 17</v>
      </c>
      <c r="C30" s="769" t="str">
        <f>'Procesy - AS IS'!C62</f>
        <v>PF UK, Kontrola uzavretých priestorov, 3651/2018</v>
      </c>
      <c r="D30" s="872">
        <f>'Procesy - AS IS'!D64+'Procesy - ∆'!D239</f>
        <v>0</v>
      </c>
      <c r="E30" s="752">
        <f>'Procesy - AS IS'!E64+'Procesy - ∆'!E239</f>
        <v>32</v>
      </c>
      <c r="F30" s="752">
        <f>'Procesy - AS IS'!F64+'Procesy - ∆'!F239</f>
        <v>2</v>
      </c>
      <c r="G30" s="752">
        <f>'Procesy - AS IS'!G64+'Procesy - ∆'!G239</f>
        <v>12</v>
      </c>
      <c r="H30" s="752" t="s">
        <v>523</v>
      </c>
      <c r="I30" s="752" t="s">
        <v>523</v>
      </c>
      <c r="J30" s="752" t="s">
        <v>523</v>
      </c>
      <c r="K30" s="752" t="s">
        <v>523</v>
      </c>
      <c r="L30" s="752">
        <f>'Procesy - AS IS'!L64+'Procesy - ∆'!L239</f>
        <v>0.8</v>
      </c>
      <c r="M30" s="752">
        <f>'Procesy - AS IS'!M64+'Procesy - ∆'!M239</f>
        <v>0</v>
      </c>
      <c r="N30" s="752" t="s">
        <v>525</v>
      </c>
      <c r="O30" s="752" t="s">
        <v>524</v>
      </c>
      <c r="P30" s="752">
        <f>'Procesy - AS IS'!P64+'Procesy - ∆'!P239</f>
        <v>8</v>
      </c>
      <c r="Q30" s="752">
        <f>'Procesy - AS IS'!Q64+'Procesy - ∆'!Q239</f>
        <v>0</v>
      </c>
      <c r="R30" s="752">
        <f>'Procesy - AS IS'!R64+'Procesy - ∆'!R239</f>
        <v>1.1636363636363636</v>
      </c>
      <c r="S30" s="752">
        <f>'Procesy - AS IS'!S64+'Procesy - ∆'!S239</f>
        <v>11.636363636363637</v>
      </c>
      <c r="T30" s="752">
        <f>'Procesy - AS IS'!T64+'Procesy - ∆'!T239</f>
        <v>0.58181818181818179</v>
      </c>
      <c r="U30" s="752">
        <f>'Procesy - AS IS'!U64+'Procesy - ∆'!U239</f>
        <v>5.4545454545454541</v>
      </c>
      <c r="V30" s="752">
        <f>'Procesy - AS IS'!V64+'Procesy - ∆'!V239</f>
        <v>0.32500000000000001</v>
      </c>
      <c r="W30" s="752">
        <f>'Procesy - AS IS'!W64+'Procesy - ∆'!W239</f>
        <v>0</v>
      </c>
      <c r="X30" s="752">
        <f>'Procesy - AS IS'!X64+'Procesy - ∆'!X239</f>
        <v>0</v>
      </c>
      <c r="Y30" s="752">
        <f>'Procesy - AS IS'!Y64+'Procesy - ∆'!Y239</f>
        <v>0</v>
      </c>
      <c r="Z30" s="752">
        <f>'Procesy - AS IS'!Z64+'Procesy - ∆'!Z239</f>
        <v>0</v>
      </c>
      <c r="AA30" s="752">
        <f>'Procesy - AS IS'!AA64+'Procesy - ∆'!AA239</f>
        <v>0</v>
      </c>
      <c r="AB30" s="752">
        <f>'Procesy - AS IS'!AB64+'Procesy - ∆'!AB239</f>
        <v>0</v>
      </c>
      <c r="AC30" s="752">
        <f>'Procesy - AS IS'!AC64+'Procesy - ∆'!AC239</f>
        <v>0</v>
      </c>
      <c r="AD30" s="903">
        <f>SUM(D30:AC30)</f>
        <v>73.961363636363629</v>
      </c>
      <c r="AE30" s="940">
        <f>'Procesy - AS IS'!AG64+'Procesy - ∆'!AF239</f>
        <v>13.682819653996249</v>
      </c>
      <c r="AF30" s="941">
        <f>'Procesy - AS IS'!AH64+'Procesy - ∆'!AG239</f>
        <v>1.2438926958178409</v>
      </c>
      <c r="AG30" s="939">
        <f>'Procesy - AS IS'!AI64+'Procesy - ∆'!AH239</f>
        <v>0</v>
      </c>
      <c r="AH30" s="794">
        <f>'Procesy - AS IS'!AJ64+'Procesy - ∆'!AI239</f>
        <v>0</v>
      </c>
      <c r="AN30" s="252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</row>
    <row r="31" spans="2:54" ht="43.2" x14ac:dyDescent="0.3">
      <c r="B31" s="256" t="str">
        <f>'Procesy - AS IS'!B65</f>
        <v>Meranie č. 18</v>
      </c>
      <c r="C31" s="749" t="str">
        <f>'Procesy - AS IS'!C65</f>
        <v>František Karkes, Senec, Používanie GT a GMO zámerným uvoľňovaním, 4785/2017</v>
      </c>
      <c r="D31" s="872">
        <f>'Procesy - AS IS'!D67+'Procesy - ∆'!D253</f>
        <v>0</v>
      </c>
      <c r="E31" s="752">
        <f>'Procesy - AS IS'!E67+'Procesy - ∆'!E253</f>
        <v>6.4</v>
      </c>
      <c r="F31" s="752">
        <f>'Procesy - AS IS'!F67+'Procesy - ∆'!F253</f>
        <v>6.4</v>
      </c>
      <c r="G31" s="752">
        <f>'Procesy - AS IS'!G67+'Procesy - ∆'!G253</f>
        <v>3</v>
      </c>
      <c r="H31" s="752" t="s">
        <v>523</v>
      </c>
      <c r="I31" s="752" t="s">
        <v>523</v>
      </c>
      <c r="J31" s="752" t="s">
        <v>523</v>
      </c>
      <c r="K31" s="752" t="s">
        <v>523</v>
      </c>
      <c r="L31" s="752">
        <f>'Procesy - AS IS'!L67+'Procesy - ∆'!L253</f>
        <v>3.2</v>
      </c>
      <c r="M31" s="752">
        <f>'Procesy - AS IS'!M67+'Procesy - ∆'!M253</f>
        <v>0</v>
      </c>
      <c r="N31" s="752" t="s">
        <v>525</v>
      </c>
      <c r="O31" s="752" t="s">
        <v>524</v>
      </c>
      <c r="P31" s="752">
        <f>'Procesy - AS IS'!P67+'Procesy - ∆'!P253</f>
        <v>3</v>
      </c>
      <c r="Q31" s="752">
        <f>'Procesy - AS IS'!Q67+'Procesy - ∆'!Q253</f>
        <v>0</v>
      </c>
      <c r="R31" s="752">
        <f>'Procesy - AS IS'!R67+'Procesy - ∆'!R253</f>
        <v>1.7964912280701753</v>
      </c>
      <c r="S31" s="752">
        <f>'Procesy - AS IS'!S67+'Procesy - ∆'!S253</f>
        <v>2.7508771929824563</v>
      </c>
      <c r="T31" s="752">
        <f>'Procesy - AS IS'!T67+'Procesy - ∆'!T253</f>
        <v>0.89824561403508763</v>
      </c>
      <c r="U31" s="752">
        <f>'Procesy - AS IS'!U67+'Procesy - ∆'!U253</f>
        <v>2.5789473684210527</v>
      </c>
      <c r="V31" s="752">
        <f>'Procesy - AS IS'!V67+'Procesy - ∆'!V253</f>
        <v>2.6</v>
      </c>
      <c r="W31" s="752">
        <f>'Procesy - AS IS'!W67+'Procesy - ∆'!W253</f>
        <v>0</v>
      </c>
      <c r="X31" s="752">
        <f>'Procesy - AS IS'!X67+'Procesy - ∆'!X253</f>
        <v>0</v>
      </c>
      <c r="Y31" s="752">
        <f>'Procesy - AS IS'!Y67+'Procesy - ∆'!Y253</f>
        <v>0</v>
      </c>
      <c r="Z31" s="752">
        <f>'Procesy - AS IS'!Z67+'Procesy - ∆'!Z253</f>
        <v>0</v>
      </c>
      <c r="AA31" s="752">
        <f>'Procesy - AS IS'!AA67+'Procesy - ∆'!AA253</f>
        <v>0</v>
      </c>
      <c r="AB31" s="752">
        <f>'Procesy - AS IS'!AB67+'Procesy - ∆'!AB253</f>
        <v>0</v>
      </c>
      <c r="AC31" s="752">
        <f>'Procesy - AS IS'!AC67+'Procesy - ∆'!AC253</f>
        <v>0</v>
      </c>
      <c r="AD31" s="903">
        <f>SUM(D31:AC31)</f>
        <v>32.624561403508771</v>
      </c>
      <c r="AE31" s="940">
        <f>'Procesy - AS IS'!AG67+'Procesy - ∆'!AF253</f>
        <v>144.1245429124543</v>
      </c>
      <c r="AF31" s="941">
        <f>'Procesy - AS IS'!AH67+'Procesy - ∆'!AG253</f>
        <v>20.228006022800603</v>
      </c>
      <c r="AG31" s="939">
        <f>'Procesy - AS IS'!AI67+'Procesy - ∆'!AH253</f>
        <v>0</v>
      </c>
      <c r="AH31" s="794">
        <f>'Procesy - AS IS'!AJ67+'Procesy - ∆'!AI253</f>
        <v>0</v>
      </c>
      <c r="AN31" s="252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</row>
    <row r="32" spans="2:54" ht="43.2" x14ac:dyDescent="0.3">
      <c r="B32" s="256" t="str">
        <f>'Procesy - AS IS'!B68</f>
        <v>Meranie č. 19</v>
      </c>
      <c r="C32" s="749" t="str">
        <f>'Procesy - AS IS'!C68</f>
        <v>Považská cementáreň, a.s. , Environmentálne označovanie výrobkov, 5706/2018</v>
      </c>
      <c r="D32" s="872">
        <f>'Procesy - AS IS'!D70+'Procesy - ∆'!D267</f>
        <v>0</v>
      </c>
      <c r="E32" s="752">
        <f>'Procesy - AS IS'!E70+'Procesy - ∆'!E267</f>
        <v>6.4</v>
      </c>
      <c r="F32" s="752">
        <f>'Procesy - AS IS'!F70+'Procesy - ∆'!F267</f>
        <v>0</v>
      </c>
      <c r="G32" s="752">
        <f>'Procesy - AS IS'!G70+'Procesy - ∆'!G267</f>
        <v>9</v>
      </c>
      <c r="H32" s="752" t="s">
        <v>523</v>
      </c>
      <c r="I32" s="752" t="s">
        <v>523</v>
      </c>
      <c r="J32" s="752" t="s">
        <v>523</v>
      </c>
      <c r="K32" s="752" t="s">
        <v>523</v>
      </c>
      <c r="L32" s="752">
        <f>'Procesy - AS IS'!L70+'Procesy - ∆'!L267</f>
        <v>3.2</v>
      </c>
      <c r="M32" s="752">
        <f>'Procesy - AS IS'!M70+'Procesy - ∆'!M267</f>
        <v>0</v>
      </c>
      <c r="N32" s="752" t="s">
        <v>525</v>
      </c>
      <c r="O32" s="752" t="s">
        <v>524</v>
      </c>
      <c r="P32" s="752">
        <f>'Procesy - AS IS'!P70+'Procesy - ∆'!P267</f>
        <v>8</v>
      </c>
      <c r="Q32" s="752">
        <f>'Procesy - AS IS'!Q70+'Procesy - ∆'!Q267</f>
        <v>0</v>
      </c>
      <c r="R32" s="752">
        <f>'Procesy - AS IS'!R70+'Procesy - ∆'!R267</f>
        <v>0</v>
      </c>
      <c r="S32" s="752">
        <f>'Procesy - AS IS'!S70+'Procesy - ∆'!S267</f>
        <v>3.2</v>
      </c>
      <c r="T32" s="752">
        <f>'Procesy - AS IS'!T70+'Procesy - ∆'!T267</f>
        <v>0</v>
      </c>
      <c r="U32" s="752">
        <f>'Procesy - AS IS'!U70+'Procesy - ∆'!U267</f>
        <v>3</v>
      </c>
      <c r="V32" s="752">
        <f>'Procesy - AS IS'!V70+'Procesy - ∆'!V267</f>
        <v>2.6</v>
      </c>
      <c r="W32" s="752">
        <f>'Procesy - AS IS'!W70+'Procesy - ∆'!W267</f>
        <v>0</v>
      </c>
      <c r="X32" s="752">
        <f>'Procesy - AS IS'!X70+'Procesy - ∆'!X267</f>
        <v>0</v>
      </c>
      <c r="Y32" s="752">
        <f>'Procesy - AS IS'!Y70+'Procesy - ∆'!Y267</f>
        <v>0</v>
      </c>
      <c r="Z32" s="752">
        <f>'Procesy - AS IS'!Z70+'Procesy - ∆'!Z267</f>
        <v>0</v>
      </c>
      <c r="AA32" s="752">
        <f>'Procesy - AS IS'!AA70+'Procesy - ∆'!AA267</f>
        <v>0</v>
      </c>
      <c r="AB32" s="752">
        <f>'Procesy - AS IS'!AB70+'Procesy - ∆'!AB267</f>
        <v>0</v>
      </c>
      <c r="AC32" s="752">
        <f>'Procesy - AS IS'!AC70+'Procesy - ∆'!AC267</f>
        <v>0</v>
      </c>
      <c r="AD32" s="903">
        <f>SUM(D32:AC32)</f>
        <v>35.4</v>
      </c>
      <c r="AE32" s="940">
        <f>'Procesy - AS IS'!AG70+'Procesy - ∆'!AF267</f>
        <v>52.20338983050847</v>
      </c>
      <c r="AF32" s="941">
        <f>'Procesy - AS IS'!AH70+'Procesy - ∆'!AG267</f>
        <v>0</v>
      </c>
      <c r="AG32" s="939">
        <f>'Procesy - AS IS'!AI70+'Procesy - ∆'!AH267</f>
        <v>0</v>
      </c>
      <c r="AH32" s="794">
        <f>'Procesy - AS IS'!AJ70+'Procesy - ∆'!AI267</f>
        <v>0</v>
      </c>
      <c r="AN32" s="252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</row>
    <row r="33" spans="2:54" ht="15" thickBot="1" x14ac:dyDescent="0.35">
      <c r="B33" s="839"/>
      <c r="C33" s="840" t="s">
        <v>535</v>
      </c>
      <c r="D33" s="841"/>
      <c r="E33" s="841"/>
      <c r="F33" s="841"/>
      <c r="G33" s="842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2"/>
      <c r="AC33" s="842"/>
      <c r="AD33" s="904"/>
      <c r="AE33" s="943">
        <f>'Procesy - AS IS'!AG71+'Procesy - ∆'!AF281</f>
        <v>5.0060994712738953</v>
      </c>
      <c r="AF33" s="944">
        <f>'Procesy - AS IS'!AH71+'Procesy - ∆'!AG281</f>
        <v>0</v>
      </c>
      <c r="AG33" s="944">
        <f>'Procesy - AS IS'!AI71+'Procesy - ∆'!AH281</f>
        <v>0</v>
      </c>
      <c r="AH33" s="846">
        <f>'Procesy - AS IS'!AJ71+'Procesy - ∆'!AI281</f>
        <v>0</v>
      </c>
      <c r="AN33" s="252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</row>
    <row r="34" spans="2:54" x14ac:dyDescent="0.3">
      <c r="B34" s="756" t="str">
        <f>'Procesy - AS IS'!B72</f>
        <v>Zdroj 6</v>
      </c>
      <c r="C34" s="757" t="str">
        <f>'Procesy - AS IS'!C72</f>
        <v>Integrované povoľovanie a kontrola</v>
      </c>
      <c r="D34" s="872">
        <f>D35*$AE35/($AE34-$AE36)</f>
        <v>0</v>
      </c>
      <c r="E34" s="750">
        <f>E35*$AE35/($AE34-$AE36)</f>
        <v>0</v>
      </c>
      <c r="F34" s="750">
        <f>F35*$AE35/($AE34-$AE36)</f>
        <v>0</v>
      </c>
      <c r="G34" s="760">
        <f>G35*$AE35/($AE34-$AE36)</f>
        <v>21</v>
      </c>
      <c r="H34" s="753"/>
      <c r="I34" s="753"/>
      <c r="J34" s="753"/>
      <c r="K34" s="753"/>
      <c r="L34" s="753"/>
      <c r="M34" s="760">
        <f>M35*$AE35/($AE34-$AE36)</f>
        <v>0</v>
      </c>
      <c r="N34" s="750"/>
      <c r="O34" s="750"/>
      <c r="P34" s="750">
        <f t="shared" ref="P34:AC34" si="7">P35*$AE35/($AE34-$AE36)</f>
        <v>3</v>
      </c>
      <c r="Q34" s="750">
        <f t="shared" si="7"/>
        <v>0</v>
      </c>
      <c r="R34" s="750">
        <f t="shared" si="7"/>
        <v>0</v>
      </c>
      <c r="S34" s="750">
        <f t="shared" si="7"/>
        <v>0</v>
      </c>
      <c r="T34" s="750">
        <f t="shared" si="7"/>
        <v>2.2791366906474821</v>
      </c>
      <c r="U34" s="750">
        <f t="shared" si="7"/>
        <v>0</v>
      </c>
      <c r="V34" s="750">
        <f t="shared" si="7"/>
        <v>0.32500000000000001</v>
      </c>
      <c r="W34" s="750">
        <f t="shared" si="7"/>
        <v>0.62589928057553956</v>
      </c>
      <c r="X34" s="750">
        <f t="shared" si="7"/>
        <v>0</v>
      </c>
      <c r="Y34" s="750">
        <f t="shared" si="7"/>
        <v>4.0057553956834528</v>
      </c>
      <c r="Z34" s="750">
        <f t="shared" si="7"/>
        <v>3.5971223021582732E-2</v>
      </c>
      <c r="AA34" s="750">
        <f t="shared" si="7"/>
        <v>0.11690647482014388</v>
      </c>
      <c r="AB34" s="750">
        <f t="shared" si="7"/>
        <v>0</v>
      </c>
      <c r="AC34" s="751">
        <f t="shared" si="7"/>
        <v>48.345323741007192</v>
      </c>
      <c r="AD34" s="909">
        <f>SUM(AD35:AD35)</f>
        <v>79.733992805755392</v>
      </c>
      <c r="AE34" s="942">
        <f>SUM(AE35:AE35)</f>
        <v>351.61289449405734</v>
      </c>
      <c r="AF34" s="848">
        <f>SUM(AF35:AF35)</f>
        <v>125.21466386658877</v>
      </c>
      <c r="AG34" s="939">
        <v>175</v>
      </c>
      <c r="AH34" s="795">
        <v>19</v>
      </c>
      <c r="AN34" s="252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</row>
    <row r="35" spans="2:54" ht="43.2" x14ac:dyDescent="0.3">
      <c r="B35" s="808" t="str">
        <f>'Procesy - AS IS'!B73</f>
        <v>Meranie č. 20</v>
      </c>
      <c r="C35" s="769" t="str">
        <f>'Procesy - AS IS'!C73</f>
        <v>Slovnaft, LDPE4 - Nová výrobnňa polyetylénu, 2370-13658/37/2013/Tot,Heg/370190306</v>
      </c>
      <c r="D35" s="872">
        <f>'Procesy - AS IS'!D75+'Procesy - ∆'!D283</f>
        <v>0</v>
      </c>
      <c r="E35" s="752">
        <f>'Procesy - AS IS'!E75+'Procesy - ∆'!E283</f>
        <v>0</v>
      </c>
      <c r="F35" s="752">
        <f>'Procesy - AS IS'!F75+'Procesy - ∆'!F283</f>
        <v>0</v>
      </c>
      <c r="G35" s="752">
        <f>'Procesy - AS IS'!G75+'Procesy - ∆'!G283</f>
        <v>21</v>
      </c>
      <c r="H35" s="752" t="s">
        <v>523</v>
      </c>
      <c r="I35" s="752" t="s">
        <v>523</v>
      </c>
      <c r="J35" s="752" t="s">
        <v>523</v>
      </c>
      <c r="K35" s="752" t="s">
        <v>523</v>
      </c>
      <c r="L35" s="752" t="s">
        <v>523</v>
      </c>
      <c r="M35" s="752">
        <f>'Procesy - AS IS'!M75+'Procesy - ∆'!M283</f>
        <v>0</v>
      </c>
      <c r="N35" s="752" t="s">
        <v>523</v>
      </c>
      <c r="O35" s="752" t="s">
        <v>524</v>
      </c>
      <c r="P35" s="752">
        <f>'Procesy - AS IS'!P75+'Procesy - ∆'!P283</f>
        <v>3</v>
      </c>
      <c r="Q35" s="752">
        <f>'Procesy - AS IS'!Q75+'Procesy - ∆'!Q283</f>
        <v>0</v>
      </c>
      <c r="R35" s="752">
        <f>'Procesy - AS IS'!R75+'Procesy - ∆'!R283</f>
        <v>0</v>
      </c>
      <c r="S35" s="752">
        <f>'Procesy - AS IS'!S75+'Procesy - ∆'!S283</f>
        <v>0</v>
      </c>
      <c r="T35" s="752">
        <f>'Procesy - AS IS'!T75+'Procesy - ∆'!T283</f>
        <v>2.2791366906474821</v>
      </c>
      <c r="U35" s="752">
        <f>'Procesy - AS IS'!U75+'Procesy - ∆'!U283</f>
        <v>0</v>
      </c>
      <c r="V35" s="752">
        <f>'Procesy - AS IS'!V75+'Procesy - ∆'!V283</f>
        <v>0.32500000000000001</v>
      </c>
      <c r="W35" s="752">
        <f>'Procesy - AS IS'!W75+'Procesy - ∆'!W283</f>
        <v>0.62589928057553956</v>
      </c>
      <c r="X35" s="752">
        <f>'Procesy - AS IS'!X75+'Procesy - ∆'!X283</f>
        <v>0</v>
      </c>
      <c r="Y35" s="752">
        <f>'Procesy - AS IS'!Y75+'Procesy - ∆'!Y283</f>
        <v>4.0057553956834528</v>
      </c>
      <c r="Z35" s="752">
        <f>'Procesy - AS IS'!Z75+'Procesy - ∆'!Z283</f>
        <v>3.5971223021582732E-2</v>
      </c>
      <c r="AA35" s="752">
        <f>'Procesy - AS IS'!AA75+'Procesy - ∆'!AA283</f>
        <v>0.11690647482014388</v>
      </c>
      <c r="AB35" s="752">
        <f>'Procesy - AS IS'!AB75+'Procesy - ∆'!AB283</f>
        <v>0</v>
      </c>
      <c r="AC35" s="752">
        <f>'Procesy - AS IS'!AC75+'Procesy - ∆'!AC283</f>
        <v>48.345323741007192</v>
      </c>
      <c r="AD35" s="903">
        <f>SUM(D35:AC35)</f>
        <v>79.733992805755392</v>
      </c>
      <c r="AE35" s="940">
        <f>'Procesy - AS IS'!AG75+'Procesy - ∆'!AF283</f>
        <v>351.61289449405734</v>
      </c>
      <c r="AF35" s="941">
        <f>'Procesy - AS IS'!AH75+'Procesy - ∆'!AG283</f>
        <v>125.21466386658877</v>
      </c>
      <c r="AG35" s="939">
        <f>'Procesy - AS IS'!AI75+'Procesy - ∆'!AH283</f>
        <v>73.358085901637864</v>
      </c>
      <c r="AH35" s="794">
        <f>'Procesy - AS IS'!AJ75+'Procesy - ∆'!AI283</f>
        <v>31.61986461277494</v>
      </c>
      <c r="AN35" s="252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</row>
    <row r="36" spans="2:54" x14ac:dyDescent="0.3">
      <c r="B36" s="849"/>
      <c r="C36" s="850" t="s">
        <v>535</v>
      </c>
      <c r="D36" s="851"/>
      <c r="E36" s="851"/>
      <c r="F36" s="851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916"/>
      <c r="AE36" s="945">
        <f>'Procesy - AS IS'!AG76+'Procesy - ∆'!AF297</f>
        <v>0</v>
      </c>
      <c r="AF36" s="946">
        <f>'Procesy - AS IS'!AH76+'Procesy - ∆'!AG297</f>
        <v>0</v>
      </c>
      <c r="AG36" s="946">
        <f>'Procesy - AS IS'!AI76+'Procesy - ∆'!AH297</f>
        <v>0</v>
      </c>
      <c r="AH36" s="856">
        <f>'Procesy - AS IS'!AJ76+'Procesy - ∆'!AI297</f>
        <v>0</v>
      </c>
      <c r="AN36" s="252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</row>
    <row r="37" spans="2:54" ht="7.8" customHeight="1" thickBot="1" x14ac:dyDescent="0.35">
      <c r="B37" s="921"/>
      <c r="C37" s="922"/>
      <c r="D37" s="923"/>
      <c r="E37" s="924"/>
      <c r="F37" s="924"/>
      <c r="G37" s="925"/>
      <c r="H37" s="925"/>
      <c r="I37" s="925"/>
      <c r="J37" s="925"/>
      <c r="K37" s="925"/>
      <c r="L37" s="925"/>
      <c r="M37" s="925"/>
      <c r="N37" s="925"/>
      <c r="O37" s="925"/>
      <c r="P37" s="925"/>
      <c r="Q37" s="925"/>
      <c r="R37" s="925"/>
      <c r="S37" s="925"/>
      <c r="T37" s="925"/>
      <c r="U37" s="925"/>
      <c r="V37" s="925"/>
      <c r="W37" s="925"/>
      <c r="X37" s="925"/>
      <c r="Y37" s="925"/>
      <c r="Z37" s="925"/>
      <c r="AA37" s="925"/>
      <c r="AB37" s="925"/>
      <c r="AC37" s="924"/>
      <c r="AD37" s="926"/>
      <c r="AE37" s="947"/>
      <c r="AF37" s="947"/>
      <c r="AG37" s="947"/>
      <c r="AH37" s="948"/>
      <c r="AN37" s="252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</row>
    <row r="38" spans="2:54" x14ac:dyDescent="0.3">
      <c r="AE38" s="797"/>
      <c r="AF38" s="797"/>
      <c r="AG38" s="797"/>
      <c r="AH38" s="797"/>
    </row>
  </sheetData>
  <conditionalFormatting sqref="D10:AD10">
    <cfRule type="cellIs" dxfId="61" priority="61" operator="equal">
      <formula>"N"</formula>
    </cfRule>
    <cfRule type="cellIs" dxfId="60" priority="62" operator="equal">
      <formula>"A"</formula>
    </cfRule>
  </conditionalFormatting>
  <conditionalFormatting sqref="F33:AA33">
    <cfRule type="cellIs" dxfId="59" priority="21" operator="equal">
      <formula>"N"</formula>
    </cfRule>
    <cfRule type="cellIs" dxfId="58" priority="22" operator="equal">
      <formula>"A"</formula>
    </cfRule>
  </conditionalFormatting>
  <conditionalFormatting sqref="AE33">
    <cfRule type="cellIs" dxfId="57" priority="13" operator="equal">
      <formula>"N"</formula>
    </cfRule>
    <cfRule type="cellIs" dxfId="56" priority="14" operator="equal">
      <formula>"A"</formula>
    </cfRule>
  </conditionalFormatting>
  <conditionalFormatting sqref="F36:AA36">
    <cfRule type="cellIs" dxfId="55" priority="9" operator="equal">
      <formula>"N"</formula>
    </cfRule>
    <cfRule type="cellIs" dxfId="54" priority="10" operator="equal">
      <formula>"A"</formula>
    </cfRule>
  </conditionalFormatting>
  <conditionalFormatting sqref="AC33:AD33">
    <cfRule type="cellIs" dxfId="53" priority="23" operator="equal">
      <formula>"N"</formula>
    </cfRule>
    <cfRule type="cellIs" dxfId="52" priority="24" operator="equal">
      <formula>"A"</formula>
    </cfRule>
  </conditionalFormatting>
  <conditionalFormatting sqref="E33">
    <cfRule type="cellIs" dxfId="51" priority="15" operator="equal">
      <formula>"N"</formula>
    </cfRule>
    <cfRule type="cellIs" dxfId="50" priority="16" operator="equal">
      <formula>"A"</formula>
    </cfRule>
  </conditionalFormatting>
  <conditionalFormatting sqref="AB33">
    <cfRule type="cellIs" dxfId="49" priority="19" operator="equal">
      <formula>"N"</formula>
    </cfRule>
    <cfRule type="cellIs" dxfId="48" priority="20" operator="equal">
      <formula>"A"</formula>
    </cfRule>
  </conditionalFormatting>
  <conditionalFormatting sqref="D33">
    <cfRule type="cellIs" dxfId="47" priority="17" operator="equal">
      <formula>"N"</formula>
    </cfRule>
    <cfRule type="cellIs" dxfId="46" priority="18" operator="equal">
      <formula>"A"</formula>
    </cfRule>
  </conditionalFormatting>
  <conditionalFormatting sqref="AC36:AD36">
    <cfRule type="cellIs" dxfId="45" priority="11" operator="equal">
      <formula>"N"</formula>
    </cfRule>
    <cfRule type="cellIs" dxfId="44" priority="12" operator="equal">
      <formula>"A"</formula>
    </cfRule>
  </conditionalFormatting>
  <conditionalFormatting sqref="AC17:AD17">
    <cfRule type="cellIs" dxfId="43" priority="59" operator="equal">
      <formula>"N"</formula>
    </cfRule>
    <cfRule type="cellIs" dxfId="42" priority="60" operator="equal">
      <formula>"A"</formula>
    </cfRule>
  </conditionalFormatting>
  <conditionalFormatting sqref="D17">
    <cfRule type="cellIs" dxfId="41" priority="53" operator="equal">
      <formula>"N"</formula>
    </cfRule>
    <cfRule type="cellIs" dxfId="40" priority="54" operator="equal">
      <formula>"A"</formula>
    </cfRule>
  </conditionalFormatting>
  <conditionalFormatting sqref="E17">
    <cfRule type="cellIs" dxfId="39" priority="51" operator="equal">
      <formula>"N"</formula>
    </cfRule>
    <cfRule type="cellIs" dxfId="38" priority="52" operator="equal">
      <formula>"A"</formula>
    </cfRule>
  </conditionalFormatting>
  <conditionalFormatting sqref="F17:AA17">
    <cfRule type="cellIs" dxfId="37" priority="57" operator="equal">
      <formula>"N"</formula>
    </cfRule>
    <cfRule type="cellIs" dxfId="36" priority="58" operator="equal">
      <formula>"A"</formula>
    </cfRule>
  </conditionalFormatting>
  <conditionalFormatting sqref="AB17">
    <cfRule type="cellIs" dxfId="35" priority="55" operator="equal">
      <formula>"N"</formula>
    </cfRule>
    <cfRule type="cellIs" dxfId="34" priority="56" operator="equal">
      <formula>"A"</formula>
    </cfRule>
  </conditionalFormatting>
  <conditionalFormatting sqref="AC24:AD24">
    <cfRule type="cellIs" dxfId="33" priority="49" operator="equal">
      <formula>"N"</formula>
    </cfRule>
    <cfRule type="cellIs" dxfId="32" priority="50" operator="equal">
      <formula>"A"</formula>
    </cfRule>
  </conditionalFormatting>
  <conditionalFormatting sqref="D24">
    <cfRule type="cellIs" dxfId="31" priority="43" operator="equal">
      <formula>"N"</formula>
    </cfRule>
    <cfRule type="cellIs" dxfId="30" priority="44" operator="equal">
      <formula>"A"</formula>
    </cfRule>
  </conditionalFormatting>
  <conditionalFormatting sqref="E24">
    <cfRule type="cellIs" dxfId="29" priority="41" operator="equal">
      <formula>"N"</formula>
    </cfRule>
    <cfRule type="cellIs" dxfId="28" priority="42" operator="equal">
      <formula>"A"</formula>
    </cfRule>
  </conditionalFormatting>
  <conditionalFormatting sqref="F24:AA24">
    <cfRule type="cellIs" dxfId="27" priority="47" operator="equal">
      <formula>"N"</formula>
    </cfRule>
    <cfRule type="cellIs" dxfId="26" priority="48" operator="equal">
      <formula>"A"</formula>
    </cfRule>
  </conditionalFormatting>
  <conditionalFormatting sqref="AB24">
    <cfRule type="cellIs" dxfId="25" priority="45" operator="equal">
      <formula>"N"</formula>
    </cfRule>
    <cfRule type="cellIs" dxfId="24" priority="46" operator="equal">
      <formula>"A"</formula>
    </cfRule>
  </conditionalFormatting>
  <conditionalFormatting sqref="AE28">
    <cfRule type="cellIs" dxfId="23" priority="25" operator="equal">
      <formula>"N"</formula>
    </cfRule>
    <cfRule type="cellIs" dxfId="22" priority="26" operator="equal">
      <formula>"A"</formula>
    </cfRule>
  </conditionalFormatting>
  <conditionalFormatting sqref="AE17">
    <cfRule type="cellIs" dxfId="21" priority="39" operator="equal">
      <formula>"N"</formula>
    </cfRule>
    <cfRule type="cellIs" dxfId="20" priority="40" operator="equal">
      <formula>"A"</formula>
    </cfRule>
  </conditionalFormatting>
  <conditionalFormatting sqref="AE24">
    <cfRule type="cellIs" dxfId="19" priority="37" operator="equal">
      <formula>"N"</formula>
    </cfRule>
    <cfRule type="cellIs" dxfId="18" priority="38" operator="equal">
      <formula>"A"</formula>
    </cfRule>
  </conditionalFormatting>
  <conditionalFormatting sqref="AC28:AD28">
    <cfRule type="cellIs" dxfId="17" priority="35" operator="equal">
      <formula>"N"</formula>
    </cfRule>
    <cfRule type="cellIs" dxfId="16" priority="36" operator="equal">
      <formula>"A"</formula>
    </cfRule>
  </conditionalFormatting>
  <conditionalFormatting sqref="F28:AA28">
    <cfRule type="cellIs" dxfId="15" priority="33" operator="equal">
      <formula>"N"</formula>
    </cfRule>
    <cfRule type="cellIs" dxfId="14" priority="34" operator="equal">
      <formula>"A"</formula>
    </cfRule>
  </conditionalFormatting>
  <conditionalFormatting sqref="AB28">
    <cfRule type="cellIs" dxfId="13" priority="31" operator="equal">
      <formula>"N"</formula>
    </cfRule>
    <cfRule type="cellIs" dxfId="12" priority="32" operator="equal">
      <formula>"A"</formula>
    </cfRule>
  </conditionalFormatting>
  <conditionalFormatting sqref="D28">
    <cfRule type="cellIs" dxfId="11" priority="29" operator="equal">
      <formula>"N"</formula>
    </cfRule>
    <cfRule type="cellIs" dxfId="10" priority="30" operator="equal">
      <formula>"A"</formula>
    </cfRule>
  </conditionalFormatting>
  <conditionalFormatting sqref="E28">
    <cfRule type="cellIs" dxfId="9" priority="27" operator="equal">
      <formula>"N"</formula>
    </cfRule>
    <cfRule type="cellIs" dxfId="8" priority="28" operator="equal">
      <formula>"A"</formula>
    </cfRule>
  </conditionalFormatting>
  <conditionalFormatting sqref="AB36">
    <cfRule type="cellIs" dxfId="7" priority="7" operator="equal">
      <formula>"N"</formula>
    </cfRule>
    <cfRule type="cellIs" dxfId="6" priority="8" operator="equal">
      <formula>"A"</formula>
    </cfRule>
  </conditionalFormatting>
  <conditionalFormatting sqref="D36">
    <cfRule type="cellIs" dxfId="5" priority="5" operator="equal">
      <formula>"N"</formula>
    </cfRule>
    <cfRule type="cellIs" dxfId="4" priority="6" operator="equal">
      <formula>"A"</formula>
    </cfRule>
  </conditionalFormatting>
  <conditionalFormatting sqref="E36">
    <cfRule type="cellIs" dxfId="3" priority="3" operator="equal">
      <formula>"N"</formula>
    </cfRule>
    <cfRule type="cellIs" dxfId="2" priority="4" operator="equal">
      <formula>"A"</formula>
    </cfRule>
  </conditionalFormatting>
  <conditionalFormatting sqref="AE36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3.21875" bestFit="1" customWidth="1"/>
    <col min="2" max="2" width="13.21875" bestFit="1" customWidth="1"/>
    <col min="3" max="3" width="162.21875" bestFit="1" customWidth="1"/>
  </cols>
  <sheetData>
    <row r="1" spans="1:3" s="105" customFormat="1" x14ac:dyDescent="0.3">
      <c r="A1" s="742" t="s">
        <v>406</v>
      </c>
      <c r="B1" s="527" t="s">
        <v>407</v>
      </c>
      <c r="C1" s="527" t="s">
        <v>408</v>
      </c>
    </row>
    <row r="2" spans="1:3" x14ac:dyDescent="0.3">
      <c r="A2" s="526">
        <v>1</v>
      </c>
      <c r="B2" s="526" t="s">
        <v>409</v>
      </c>
      <c r="C2" s="526" t="s">
        <v>410</v>
      </c>
    </row>
    <row r="3" spans="1:3" x14ac:dyDescent="0.3">
      <c r="A3" s="526">
        <v>2</v>
      </c>
      <c r="B3" s="526" t="s">
        <v>411</v>
      </c>
      <c r="C3" s="526" t="s">
        <v>412</v>
      </c>
    </row>
    <row r="4" spans="1:3" x14ac:dyDescent="0.3">
      <c r="A4" s="526">
        <v>3</v>
      </c>
      <c r="B4" s="526" t="s">
        <v>413</v>
      </c>
      <c r="C4" s="526" t="s">
        <v>414</v>
      </c>
    </row>
    <row r="5" spans="1:3" x14ac:dyDescent="0.3">
      <c r="A5" s="526">
        <v>4</v>
      </c>
      <c r="B5" s="526" t="s">
        <v>415</v>
      </c>
      <c r="C5" s="526" t="s">
        <v>416</v>
      </c>
    </row>
    <row r="6" spans="1:3" x14ac:dyDescent="0.3">
      <c r="A6" s="526">
        <v>5</v>
      </c>
      <c r="B6" s="526" t="s">
        <v>417</v>
      </c>
      <c r="C6" s="526" t="s">
        <v>418</v>
      </c>
    </row>
    <row r="7" spans="1:3" x14ac:dyDescent="0.3">
      <c r="A7" s="526">
        <v>6</v>
      </c>
      <c r="B7" s="526" t="s">
        <v>419</v>
      </c>
      <c r="C7" s="526" t="s">
        <v>420</v>
      </c>
    </row>
    <row r="8" spans="1:3" x14ac:dyDescent="0.3">
      <c r="A8" s="526">
        <v>7</v>
      </c>
      <c r="B8" s="526" t="s">
        <v>421</v>
      </c>
      <c r="C8" s="526" t="s">
        <v>422</v>
      </c>
    </row>
    <row r="9" spans="1:3" x14ac:dyDescent="0.3">
      <c r="A9" s="526">
        <v>8</v>
      </c>
      <c r="B9" s="526" t="s">
        <v>423</v>
      </c>
      <c r="C9" s="526" t="s">
        <v>424</v>
      </c>
    </row>
    <row r="10" spans="1:3" x14ac:dyDescent="0.3">
      <c r="A10" s="526">
        <v>9</v>
      </c>
      <c r="B10" s="526" t="s">
        <v>425</v>
      </c>
      <c r="C10" s="526" t="s">
        <v>426</v>
      </c>
    </row>
    <row r="11" spans="1:3" x14ac:dyDescent="0.3">
      <c r="A11" s="526">
        <v>10</v>
      </c>
      <c r="B11" s="526" t="s">
        <v>427</v>
      </c>
      <c r="C11" s="526" t="s">
        <v>428</v>
      </c>
    </row>
    <row r="12" spans="1:3" x14ac:dyDescent="0.3">
      <c r="A12" s="526">
        <v>11</v>
      </c>
      <c r="B12" s="526" t="s">
        <v>429</v>
      </c>
      <c r="C12" s="526" t="s">
        <v>430</v>
      </c>
    </row>
    <row r="13" spans="1:3" x14ac:dyDescent="0.3">
      <c r="A13" s="526">
        <v>12</v>
      </c>
      <c r="B13" s="526" t="s">
        <v>431</v>
      </c>
      <c r="C13" s="526" t="s">
        <v>432</v>
      </c>
    </row>
  </sheetData>
  <pageMargins left="0.7" right="0.7" top="0.75" bottom="0.75" header="0.3" footer="0.3"/>
  <pageSetup paperSize="9" orientation="portrait" horizontalDpi="150" verticalDpi="15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8"/>
  <sheetViews>
    <sheetView view="pageBreakPreview" topLeftCell="A105" zoomScale="80" zoomScaleNormal="80" zoomScaleSheetLayoutView="80" workbookViewId="0">
      <selection activeCell="F129" sqref="F129"/>
    </sheetView>
  </sheetViews>
  <sheetFormatPr defaultColWidth="8.88671875" defaultRowHeight="14.4" x14ac:dyDescent="0.3"/>
  <cols>
    <col min="1" max="1" width="26" customWidth="1"/>
    <col min="2" max="2" width="11.44140625" customWidth="1"/>
    <col min="4" max="4" width="20.88671875" customWidth="1"/>
    <col min="6" max="8" width="12.44140625" bestFit="1" customWidth="1"/>
    <col min="9" max="9" width="13.109375" bestFit="1" customWidth="1"/>
  </cols>
  <sheetData>
    <row r="1" spans="1:9" ht="15" thickBot="1" x14ac:dyDescent="0.35"/>
    <row r="2" spans="1:9" x14ac:dyDescent="0.3">
      <c r="A2" s="1158" t="str">
        <f>'Parametre - Agendové IS'!G1</f>
        <v>1. Podpora workflow pre inšpekčnú a povoľovaciu činnosť</v>
      </c>
      <c r="B2" s="1159"/>
      <c r="C2" s="1160"/>
      <c r="D2" s="1164" t="s">
        <v>103</v>
      </c>
      <c r="E2" s="1165"/>
      <c r="F2" s="278" t="s">
        <v>360</v>
      </c>
      <c r="G2" s="278" t="s">
        <v>157</v>
      </c>
      <c r="H2" s="278" t="s">
        <v>158</v>
      </c>
      <c r="I2" s="278" t="s">
        <v>160</v>
      </c>
    </row>
    <row r="3" spans="1:9" ht="15" thickBot="1" x14ac:dyDescent="0.35">
      <c r="A3" s="1161"/>
      <c r="B3" s="1162"/>
      <c r="C3" s="1163"/>
      <c r="D3" s="477" t="s">
        <v>313</v>
      </c>
      <c r="E3" s="478" t="s">
        <v>159</v>
      </c>
      <c r="F3" s="162" t="s">
        <v>159</v>
      </c>
      <c r="G3" s="162" t="s">
        <v>159</v>
      </c>
      <c r="H3" s="162" t="s">
        <v>159</v>
      </c>
      <c r="I3" s="162" t="s">
        <v>159</v>
      </c>
    </row>
    <row r="4" spans="1:9" ht="15" customHeight="1" x14ac:dyDescent="0.3">
      <c r="A4" s="1152" t="s">
        <v>43</v>
      </c>
      <c r="B4" s="1155" t="s">
        <v>177</v>
      </c>
      <c r="C4" s="163" t="s">
        <v>25</v>
      </c>
      <c r="D4" s="479" t="str">
        <f>IF(E4='Parametre - Agendové IS'!H97,"OK","Chyba počtu FTE")</f>
        <v>OK</v>
      </c>
      <c r="E4" s="480">
        <f t="shared" ref="E4:E33" si="0">F4+G4+H4+I4</f>
        <v>0</v>
      </c>
      <c r="F4" s="228"/>
      <c r="G4" s="228"/>
      <c r="H4" s="228"/>
      <c r="I4" s="228"/>
    </row>
    <row r="5" spans="1:9" x14ac:dyDescent="0.3">
      <c r="A5" s="1153"/>
      <c r="B5" s="1156"/>
      <c r="C5" s="160" t="s">
        <v>26</v>
      </c>
      <c r="D5" s="481" t="str">
        <f>IF(E5='Parametre - Agendové IS'!H98,"OK","Chyba počtu FTE")</f>
        <v>OK</v>
      </c>
      <c r="E5" s="482">
        <f t="shared" si="0"/>
        <v>0</v>
      </c>
      <c r="F5" s="229"/>
      <c r="G5" s="229"/>
      <c r="H5" s="229"/>
      <c r="I5" s="229"/>
    </row>
    <row r="6" spans="1:9" x14ac:dyDescent="0.3">
      <c r="A6" s="1153"/>
      <c r="B6" s="1156"/>
      <c r="C6" s="160" t="s">
        <v>27</v>
      </c>
      <c r="D6" s="481" t="str">
        <f>IF(E6='Parametre - Agendové IS'!H99,"OK","Chyba počtu FTE")</f>
        <v>OK</v>
      </c>
      <c r="E6" s="482">
        <f t="shared" si="0"/>
        <v>0</v>
      </c>
      <c r="F6" s="229"/>
      <c r="G6" s="229"/>
      <c r="H6" s="229"/>
      <c r="I6" s="229"/>
    </row>
    <row r="7" spans="1:9" x14ac:dyDescent="0.3">
      <c r="A7" s="1153"/>
      <c r="B7" s="1156"/>
      <c r="C7" s="160" t="s">
        <v>28</v>
      </c>
      <c r="D7" s="481" t="str">
        <f>IF(E7='Parametre - Agendové IS'!H100,"OK","Chyba počtu FTE")</f>
        <v>OK</v>
      </c>
      <c r="E7" s="482">
        <f t="shared" si="0"/>
        <v>0</v>
      </c>
      <c r="F7" s="229"/>
      <c r="G7" s="229"/>
      <c r="H7" s="229"/>
      <c r="I7" s="229"/>
    </row>
    <row r="8" spans="1:9" x14ac:dyDescent="0.3">
      <c r="A8" s="1153"/>
      <c r="B8" s="1156"/>
      <c r="C8" s="160" t="s">
        <v>29</v>
      </c>
      <c r="D8" s="481" t="str">
        <f>IF(E8='Parametre - Agendové IS'!H101,"OK","Chyba počtu FTE")</f>
        <v>OK</v>
      </c>
      <c r="E8" s="482">
        <f t="shared" si="0"/>
        <v>0</v>
      </c>
      <c r="F8" s="229"/>
      <c r="G8" s="229"/>
      <c r="H8" s="229"/>
      <c r="I8" s="229"/>
    </row>
    <row r="9" spans="1:9" x14ac:dyDescent="0.3">
      <c r="A9" s="1153"/>
      <c r="B9" s="1156"/>
      <c r="C9" s="160" t="s">
        <v>30</v>
      </c>
      <c r="D9" s="481" t="str">
        <f>IF(E9='Parametre - Agendové IS'!H102,"OK","Chyba počtu FTE")</f>
        <v>OK</v>
      </c>
      <c r="E9" s="482">
        <f t="shared" si="0"/>
        <v>0</v>
      </c>
      <c r="F9" s="229"/>
      <c r="G9" s="229"/>
      <c r="H9" s="229"/>
      <c r="I9" s="229"/>
    </row>
    <row r="10" spans="1:9" x14ac:dyDescent="0.3">
      <c r="A10" s="1153"/>
      <c r="B10" s="1156"/>
      <c r="C10" s="160" t="s">
        <v>31</v>
      </c>
      <c r="D10" s="481" t="str">
        <f>IF(E10='Parametre - Agendové IS'!H103,"OK","Chyba počtu FTE")</f>
        <v>OK</v>
      </c>
      <c r="E10" s="482">
        <f t="shared" si="0"/>
        <v>0</v>
      </c>
      <c r="F10" s="229"/>
      <c r="G10" s="229"/>
      <c r="H10" s="229"/>
      <c r="I10" s="229"/>
    </row>
    <row r="11" spans="1:9" x14ac:dyDescent="0.3">
      <c r="A11" s="1153"/>
      <c r="B11" s="1156"/>
      <c r="C11" s="160" t="s">
        <v>32</v>
      </c>
      <c r="D11" s="481" t="str">
        <f>IF(E11='Parametre - Agendové IS'!H104,"OK","Chyba počtu FTE")</f>
        <v>OK</v>
      </c>
      <c r="E11" s="482">
        <f t="shared" si="0"/>
        <v>0</v>
      </c>
      <c r="F11" s="229"/>
      <c r="G11" s="229"/>
      <c r="H11" s="229"/>
      <c r="I11" s="229"/>
    </row>
    <row r="12" spans="1:9" x14ac:dyDescent="0.3">
      <c r="A12" s="1153"/>
      <c r="B12" s="1156"/>
      <c r="C12" s="160" t="s">
        <v>33</v>
      </c>
      <c r="D12" s="481" t="str">
        <f>IF(E12='Parametre - Agendové IS'!H105,"OK","Chyba počtu FTE")</f>
        <v>OK</v>
      </c>
      <c r="E12" s="482">
        <f t="shared" si="0"/>
        <v>0</v>
      </c>
      <c r="F12" s="229"/>
      <c r="G12" s="229"/>
      <c r="H12" s="229"/>
      <c r="I12" s="229"/>
    </row>
    <row r="13" spans="1:9" ht="15" thickBot="1" x14ac:dyDescent="0.35">
      <c r="A13" s="1153"/>
      <c r="B13" s="1156"/>
      <c r="C13" s="160" t="s">
        <v>34</v>
      </c>
      <c r="D13" s="483" t="str">
        <f>IF(E13='Parametre - Agendové IS'!H106,"OK","Chyba počtu FTE")</f>
        <v>OK</v>
      </c>
      <c r="E13" s="484">
        <f t="shared" si="0"/>
        <v>0</v>
      </c>
      <c r="F13" s="230"/>
      <c r="G13" s="230"/>
      <c r="H13" s="230"/>
      <c r="I13" s="230"/>
    </row>
    <row r="14" spans="1:9" ht="15" customHeight="1" x14ac:dyDescent="0.3">
      <c r="A14" s="1152" t="s">
        <v>41</v>
      </c>
      <c r="B14" s="1155" t="s">
        <v>37</v>
      </c>
      <c r="C14" s="163" t="s">
        <v>25</v>
      </c>
      <c r="D14" s="480" t="str">
        <f>IF(E14='Parametre - Agendové IS'!H6,"OK","Chyba počtu podaní")</f>
        <v>Chyba počtu podaní</v>
      </c>
      <c r="E14" s="485">
        <f t="shared" si="0"/>
        <v>0</v>
      </c>
      <c r="F14" s="228"/>
      <c r="G14" s="228"/>
      <c r="H14" s="228"/>
      <c r="I14" s="228"/>
    </row>
    <row r="15" spans="1:9" x14ac:dyDescent="0.3">
      <c r="A15" s="1153"/>
      <c r="B15" s="1156"/>
      <c r="C15" s="160" t="s">
        <v>26</v>
      </c>
      <c r="D15" s="481" t="str">
        <f>IF(E15='Parametre - Agendové IS'!H7,"OK","Chyba počtu podaní")</f>
        <v>Chyba počtu podaní</v>
      </c>
      <c r="E15" s="482">
        <f t="shared" si="0"/>
        <v>0</v>
      </c>
      <c r="F15" s="229"/>
      <c r="G15" s="229"/>
      <c r="H15" s="229"/>
      <c r="I15" s="229"/>
    </row>
    <row r="16" spans="1:9" x14ac:dyDescent="0.3">
      <c r="A16" s="1153"/>
      <c r="B16" s="1156"/>
      <c r="C16" s="160" t="s">
        <v>27</v>
      </c>
      <c r="D16" s="481" t="str">
        <f>IF(E16='Parametre - Agendové IS'!H8,"OK","Chyba počtu podaní")</f>
        <v>Chyba počtu podaní</v>
      </c>
      <c r="E16" s="482">
        <f t="shared" si="0"/>
        <v>0</v>
      </c>
      <c r="F16" s="229"/>
      <c r="G16" s="229"/>
      <c r="H16" s="229"/>
      <c r="I16" s="229"/>
    </row>
    <row r="17" spans="1:9" x14ac:dyDescent="0.3">
      <c r="A17" s="1153"/>
      <c r="B17" s="1156"/>
      <c r="C17" s="160" t="s">
        <v>28</v>
      </c>
      <c r="D17" s="481" t="str">
        <f>IF(E17='Parametre - Agendové IS'!H9,"OK","Chyba počtu podaní")</f>
        <v>Chyba počtu podaní</v>
      </c>
      <c r="E17" s="482">
        <f t="shared" si="0"/>
        <v>0</v>
      </c>
      <c r="F17" s="229"/>
      <c r="G17" s="229"/>
      <c r="H17" s="229"/>
      <c r="I17" s="229"/>
    </row>
    <row r="18" spans="1:9" x14ac:dyDescent="0.3">
      <c r="A18" s="1153"/>
      <c r="B18" s="1156"/>
      <c r="C18" s="160" t="s">
        <v>29</v>
      </c>
      <c r="D18" s="481" t="str">
        <f>IF(E18='Parametre - Agendové IS'!H10,"OK","Chyba počtu podaní")</f>
        <v>Chyba počtu podaní</v>
      </c>
      <c r="E18" s="482">
        <f t="shared" si="0"/>
        <v>0</v>
      </c>
      <c r="F18" s="229"/>
      <c r="G18" s="229"/>
      <c r="H18" s="229"/>
      <c r="I18" s="229"/>
    </row>
    <row r="19" spans="1:9" x14ac:dyDescent="0.3">
      <c r="A19" s="1153"/>
      <c r="B19" s="1156"/>
      <c r="C19" s="160" t="s">
        <v>30</v>
      </c>
      <c r="D19" s="481" t="str">
        <f>IF(E19='Parametre - Agendové IS'!H11,"OK","Chyba počtu podaní")</f>
        <v>Chyba počtu podaní</v>
      </c>
      <c r="E19" s="482">
        <f t="shared" si="0"/>
        <v>0</v>
      </c>
      <c r="F19" s="229"/>
      <c r="G19" s="229"/>
      <c r="H19" s="229"/>
      <c r="I19" s="229"/>
    </row>
    <row r="20" spans="1:9" x14ac:dyDescent="0.3">
      <c r="A20" s="1153"/>
      <c r="B20" s="1156"/>
      <c r="C20" s="160" t="s">
        <v>31</v>
      </c>
      <c r="D20" s="481" t="str">
        <f>IF(E20='Parametre - Agendové IS'!H12,"OK","Chyba počtu podaní")</f>
        <v>Chyba počtu podaní</v>
      </c>
      <c r="E20" s="482">
        <f t="shared" si="0"/>
        <v>0</v>
      </c>
      <c r="F20" s="229"/>
      <c r="G20" s="229"/>
      <c r="H20" s="229"/>
      <c r="I20" s="229"/>
    </row>
    <row r="21" spans="1:9" x14ac:dyDescent="0.3">
      <c r="A21" s="1153"/>
      <c r="B21" s="1156"/>
      <c r="C21" s="160" t="s">
        <v>32</v>
      </c>
      <c r="D21" s="481" t="str">
        <f>IF(E21='Parametre - Agendové IS'!H13,"OK","Chyba počtu podaní")</f>
        <v>Chyba počtu podaní</v>
      </c>
      <c r="E21" s="482">
        <f t="shared" si="0"/>
        <v>0</v>
      </c>
      <c r="F21" s="229"/>
      <c r="G21" s="229"/>
      <c r="H21" s="229"/>
      <c r="I21" s="229"/>
    </row>
    <row r="22" spans="1:9" x14ac:dyDescent="0.3">
      <c r="A22" s="1153"/>
      <c r="B22" s="1156"/>
      <c r="C22" s="160" t="s">
        <v>33</v>
      </c>
      <c r="D22" s="481" t="str">
        <f>IF(E22='Parametre - Agendové IS'!H14,"OK","Chyba počtu podaní")</f>
        <v>Chyba počtu podaní</v>
      </c>
      <c r="E22" s="482">
        <f t="shared" si="0"/>
        <v>0</v>
      </c>
      <c r="F22" s="229"/>
      <c r="G22" s="229"/>
      <c r="H22" s="229"/>
      <c r="I22" s="229"/>
    </row>
    <row r="23" spans="1:9" ht="15" thickBot="1" x14ac:dyDescent="0.35">
      <c r="A23" s="1154"/>
      <c r="B23" s="1157"/>
      <c r="C23" s="161" t="s">
        <v>34</v>
      </c>
      <c r="D23" s="481" t="str">
        <f>IF(E23='Parametre - Agendové IS'!H15,"OK","Chyba počtu podaní")</f>
        <v>Chyba počtu podaní</v>
      </c>
      <c r="E23" s="482">
        <f t="shared" si="0"/>
        <v>0</v>
      </c>
      <c r="F23" s="229"/>
      <c r="G23" s="229"/>
      <c r="H23" s="229"/>
      <c r="I23" s="229"/>
    </row>
    <row r="24" spans="1:9" x14ac:dyDescent="0.3">
      <c r="A24" s="1152" t="s">
        <v>39</v>
      </c>
      <c r="B24" s="1155" t="s">
        <v>13</v>
      </c>
      <c r="C24" s="163" t="s">
        <v>25</v>
      </c>
      <c r="D24" s="480" t="str">
        <f>IF(E24='Parametre - Agendové IS'!H147,"OK","Chyba")</f>
        <v>OK</v>
      </c>
      <c r="E24" s="485">
        <f t="shared" si="0"/>
        <v>0</v>
      </c>
      <c r="F24" s="575">
        <f>'Parametre - Agendové IS'!$H66</f>
        <v>0</v>
      </c>
      <c r="G24" s="575"/>
      <c r="H24" s="575"/>
      <c r="I24" s="575"/>
    </row>
    <row r="25" spans="1:9" x14ac:dyDescent="0.3">
      <c r="A25" s="1153"/>
      <c r="B25" s="1156"/>
      <c r="C25" s="160" t="s">
        <v>26</v>
      </c>
      <c r="D25" s="481" t="str">
        <f>IF(E25='Parametre - Agendové IS'!H148,"OK","Chyba")</f>
        <v>OK</v>
      </c>
      <c r="E25" s="482">
        <f t="shared" si="0"/>
        <v>0</v>
      </c>
      <c r="F25" s="576">
        <f>'Parametre - Agendové IS'!$H67</f>
        <v>0</v>
      </c>
      <c r="G25" s="576"/>
      <c r="H25" s="576"/>
      <c r="I25" s="576"/>
    </row>
    <row r="26" spans="1:9" x14ac:dyDescent="0.3">
      <c r="A26" s="1153"/>
      <c r="B26" s="1156"/>
      <c r="C26" s="160" t="s">
        <v>27</v>
      </c>
      <c r="D26" s="481" t="str">
        <f>IF(E26='Parametre - Agendové IS'!H149,"OK","Chyba")</f>
        <v>OK</v>
      </c>
      <c r="E26" s="482">
        <f t="shared" si="0"/>
        <v>0</v>
      </c>
      <c r="F26" s="576">
        <f>'Parametre - Agendové IS'!$H68</f>
        <v>0</v>
      </c>
      <c r="G26" s="576"/>
      <c r="H26" s="576"/>
      <c r="I26" s="576"/>
    </row>
    <row r="27" spans="1:9" x14ac:dyDescent="0.3">
      <c r="A27" s="1153"/>
      <c r="B27" s="1156"/>
      <c r="C27" s="160" t="s">
        <v>28</v>
      </c>
      <c r="D27" s="481" t="str">
        <f>IF(E27='Parametre - Agendové IS'!H150,"OK","Chyba")</f>
        <v>OK</v>
      </c>
      <c r="E27" s="482">
        <f t="shared" si="0"/>
        <v>0</v>
      </c>
      <c r="F27" s="576">
        <f>'Parametre - Agendové IS'!$H69</f>
        <v>0</v>
      </c>
      <c r="G27" s="576"/>
      <c r="H27" s="576"/>
      <c r="I27" s="576"/>
    </row>
    <row r="28" spans="1:9" x14ac:dyDescent="0.3">
      <c r="A28" s="1153"/>
      <c r="B28" s="1156"/>
      <c r="C28" s="160" t="s">
        <v>29</v>
      </c>
      <c r="D28" s="481" t="str">
        <f>IF(E28='Parametre - Agendové IS'!H151,"OK","Chyba")</f>
        <v>OK</v>
      </c>
      <c r="E28" s="482">
        <f t="shared" si="0"/>
        <v>0</v>
      </c>
      <c r="F28" s="576">
        <f>'Parametre - Agendové IS'!$H70</f>
        <v>0</v>
      </c>
      <c r="G28" s="576"/>
      <c r="H28" s="576"/>
      <c r="I28" s="576"/>
    </row>
    <row r="29" spans="1:9" x14ac:dyDescent="0.3">
      <c r="A29" s="1153"/>
      <c r="B29" s="1156"/>
      <c r="C29" s="160" t="s">
        <v>30</v>
      </c>
      <c r="D29" s="481" t="str">
        <f>IF(E29='Parametre - Agendové IS'!H152,"OK","Chyba")</f>
        <v>OK</v>
      </c>
      <c r="E29" s="482">
        <f t="shared" si="0"/>
        <v>0</v>
      </c>
      <c r="F29" s="576">
        <f>'Parametre - Agendové IS'!$H71</f>
        <v>0</v>
      </c>
      <c r="G29" s="576"/>
      <c r="H29" s="576"/>
      <c r="I29" s="576"/>
    </row>
    <row r="30" spans="1:9" x14ac:dyDescent="0.3">
      <c r="A30" s="1153"/>
      <c r="B30" s="1156"/>
      <c r="C30" s="160" t="s">
        <v>31</v>
      </c>
      <c r="D30" s="481" t="str">
        <f>IF(E30='Parametre - Agendové IS'!H153,"OK","Chyba")</f>
        <v>OK</v>
      </c>
      <c r="E30" s="482">
        <f t="shared" si="0"/>
        <v>0</v>
      </c>
      <c r="F30" s="576">
        <f>'Parametre - Agendové IS'!$H72</f>
        <v>0</v>
      </c>
      <c r="G30" s="576"/>
      <c r="H30" s="576"/>
      <c r="I30" s="576"/>
    </row>
    <row r="31" spans="1:9" x14ac:dyDescent="0.3">
      <c r="A31" s="1153"/>
      <c r="B31" s="1156"/>
      <c r="C31" s="160" t="s">
        <v>32</v>
      </c>
      <c r="D31" s="481" t="str">
        <f>IF(E31='Parametre - Agendové IS'!H154,"OK","Chyba")</f>
        <v>OK</v>
      </c>
      <c r="E31" s="482">
        <f t="shared" si="0"/>
        <v>0</v>
      </c>
      <c r="F31" s="576">
        <f>'Parametre - Agendové IS'!$H73</f>
        <v>0</v>
      </c>
      <c r="G31" s="576"/>
      <c r="H31" s="576"/>
      <c r="I31" s="576"/>
    </row>
    <row r="32" spans="1:9" x14ac:dyDescent="0.3">
      <c r="A32" s="1153"/>
      <c r="B32" s="1156"/>
      <c r="C32" s="160" t="s">
        <v>33</v>
      </c>
      <c r="D32" s="481" t="str">
        <f>IF(E32='Parametre - Agendové IS'!H155,"OK","Chyba")</f>
        <v>OK</v>
      </c>
      <c r="E32" s="482">
        <f t="shared" si="0"/>
        <v>0</v>
      </c>
      <c r="F32" s="576">
        <f>'Parametre - Agendové IS'!$H74</f>
        <v>0</v>
      </c>
      <c r="G32" s="576"/>
      <c r="H32" s="576"/>
      <c r="I32" s="576"/>
    </row>
    <row r="33" spans="1:9" ht="15" thickBot="1" x14ac:dyDescent="0.35">
      <c r="A33" s="1154"/>
      <c r="B33" s="1157"/>
      <c r="C33" s="161" t="s">
        <v>34</v>
      </c>
      <c r="D33" s="481" t="str">
        <f>IF(E33='Parametre - Agendové IS'!H156,"OK","Chyba")</f>
        <v>OK</v>
      </c>
      <c r="E33" s="482">
        <f t="shared" si="0"/>
        <v>0</v>
      </c>
      <c r="F33" s="576">
        <f>'Parametre - Agendové IS'!$H75</f>
        <v>0</v>
      </c>
      <c r="G33" s="576"/>
      <c r="H33" s="576"/>
      <c r="I33" s="576"/>
    </row>
    <row r="34" spans="1:9" x14ac:dyDescent="0.3">
      <c r="A34" s="157"/>
      <c r="B34" s="158"/>
      <c r="D34" s="790"/>
      <c r="E34" s="159"/>
    </row>
    <row r="35" spans="1:9" x14ac:dyDescent="0.3">
      <c r="A35" s="157"/>
      <c r="B35" s="158"/>
      <c r="E35" s="159"/>
    </row>
    <row r="36" spans="1:9" ht="15" thickBot="1" x14ac:dyDescent="0.35">
      <c r="A36" s="157"/>
      <c r="B36" s="158"/>
      <c r="E36" s="159"/>
    </row>
    <row r="37" spans="1:9" x14ac:dyDescent="0.3">
      <c r="A37" s="1158">
        <f>'Parametre - Agendové IS'!J1</f>
        <v>0</v>
      </c>
      <c r="B37" s="1159"/>
      <c r="C37" s="1160"/>
      <c r="D37" s="1164" t="s">
        <v>103</v>
      </c>
      <c r="E37" s="1165"/>
      <c r="F37" s="278" t="str">
        <f>$F$2</f>
        <v>SIŽP</v>
      </c>
      <c r="G37" s="278" t="s">
        <v>157</v>
      </c>
      <c r="H37" s="278" t="s">
        <v>158</v>
      </c>
      <c r="I37" s="278" t="s">
        <v>160</v>
      </c>
    </row>
    <row r="38" spans="1:9" ht="15" thickBot="1" x14ac:dyDescent="0.35">
      <c r="A38" s="1161"/>
      <c r="B38" s="1162"/>
      <c r="C38" s="1163"/>
      <c r="D38" s="477" t="s">
        <v>313</v>
      </c>
      <c r="E38" s="478" t="s">
        <v>159</v>
      </c>
      <c r="F38" s="162" t="s">
        <v>159</v>
      </c>
      <c r="G38" s="162" t="s">
        <v>159</v>
      </c>
      <c r="H38" s="162" t="s">
        <v>159</v>
      </c>
      <c r="I38" s="162" t="s">
        <v>159</v>
      </c>
    </row>
    <row r="39" spans="1:9" x14ac:dyDescent="0.3">
      <c r="A39" s="1152" t="s">
        <v>43</v>
      </c>
      <c r="B39" s="1155" t="s">
        <v>177</v>
      </c>
      <c r="C39" s="163" t="s">
        <v>25</v>
      </c>
      <c r="D39" s="479" t="str">
        <f>IF(E39='Parametre - Agendové IS'!K97,"OK","Chyba počtu FTE")</f>
        <v>OK</v>
      </c>
      <c r="E39" s="480">
        <f t="shared" ref="E39:E68" si="1">F39+G39+H39+I39</f>
        <v>0</v>
      </c>
      <c r="F39" s="228"/>
      <c r="G39" s="228"/>
      <c r="H39" s="228"/>
      <c r="I39" s="228"/>
    </row>
    <row r="40" spans="1:9" x14ac:dyDescent="0.3">
      <c r="A40" s="1153"/>
      <c r="B40" s="1156"/>
      <c r="C40" s="160" t="s">
        <v>26</v>
      </c>
      <c r="D40" s="481" t="str">
        <f>IF(E40='Parametre - Agendové IS'!K98,"OK","Chyba počtu FTE")</f>
        <v>OK</v>
      </c>
      <c r="E40" s="482">
        <f t="shared" si="1"/>
        <v>0</v>
      </c>
      <c r="F40" s="229"/>
      <c r="G40" s="229"/>
      <c r="H40" s="229"/>
      <c r="I40" s="229"/>
    </row>
    <row r="41" spans="1:9" x14ac:dyDescent="0.3">
      <c r="A41" s="1153"/>
      <c r="B41" s="1156"/>
      <c r="C41" s="160" t="s">
        <v>27</v>
      </c>
      <c r="D41" s="481" t="str">
        <f>IF(E41='Parametre - Agendové IS'!K99,"OK","Chyba počtu FTE")</f>
        <v>OK</v>
      </c>
      <c r="E41" s="482">
        <f t="shared" si="1"/>
        <v>0</v>
      </c>
      <c r="F41" s="229"/>
      <c r="G41" s="229"/>
      <c r="H41" s="229"/>
      <c r="I41" s="229"/>
    </row>
    <row r="42" spans="1:9" x14ac:dyDescent="0.3">
      <c r="A42" s="1153"/>
      <c r="B42" s="1156"/>
      <c r="C42" s="160" t="s">
        <v>28</v>
      </c>
      <c r="D42" s="481" t="str">
        <f>IF(E42='Parametre - Agendové IS'!K100,"OK","Chyba počtu FTE")</f>
        <v>OK</v>
      </c>
      <c r="E42" s="482">
        <f t="shared" si="1"/>
        <v>0</v>
      </c>
      <c r="F42" s="229"/>
      <c r="G42" s="229"/>
      <c r="H42" s="229"/>
      <c r="I42" s="229"/>
    </row>
    <row r="43" spans="1:9" x14ac:dyDescent="0.3">
      <c r="A43" s="1153"/>
      <c r="B43" s="1156"/>
      <c r="C43" s="160" t="s">
        <v>29</v>
      </c>
      <c r="D43" s="481" t="str">
        <f>IF(E43='Parametre - Agendové IS'!K101,"OK","Chyba počtu FTE")</f>
        <v>OK</v>
      </c>
      <c r="E43" s="482">
        <f t="shared" si="1"/>
        <v>0</v>
      </c>
      <c r="F43" s="229"/>
      <c r="G43" s="229"/>
      <c r="H43" s="229"/>
      <c r="I43" s="229"/>
    </row>
    <row r="44" spans="1:9" ht="15" customHeight="1" x14ac:dyDescent="0.3">
      <c r="A44" s="1153"/>
      <c r="B44" s="1156"/>
      <c r="C44" s="160" t="s">
        <v>30</v>
      </c>
      <c r="D44" s="481" t="str">
        <f>IF(E44='Parametre - Agendové IS'!K102,"OK","Chyba počtu FTE")</f>
        <v>OK</v>
      </c>
      <c r="E44" s="482">
        <f t="shared" si="1"/>
        <v>0</v>
      </c>
      <c r="F44" s="229"/>
      <c r="G44" s="229"/>
      <c r="H44" s="229"/>
      <c r="I44" s="229"/>
    </row>
    <row r="45" spans="1:9" x14ac:dyDescent="0.3">
      <c r="A45" s="1153"/>
      <c r="B45" s="1156"/>
      <c r="C45" s="160" t="s">
        <v>31</v>
      </c>
      <c r="D45" s="481" t="str">
        <f>IF(E45='Parametre - Agendové IS'!K103,"OK","Chyba počtu FTE")</f>
        <v>OK</v>
      </c>
      <c r="E45" s="482">
        <f t="shared" si="1"/>
        <v>0</v>
      </c>
      <c r="F45" s="229"/>
      <c r="G45" s="229"/>
      <c r="H45" s="229"/>
      <c r="I45" s="229"/>
    </row>
    <row r="46" spans="1:9" x14ac:dyDescent="0.3">
      <c r="A46" s="1153"/>
      <c r="B46" s="1156"/>
      <c r="C46" s="160" t="s">
        <v>32</v>
      </c>
      <c r="D46" s="481" t="str">
        <f>IF(E46='Parametre - Agendové IS'!K104,"OK","Chyba počtu FTE")</f>
        <v>OK</v>
      </c>
      <c r="E46" s="482">
        <f t="shared" si="1"/>
        <v>0</v>
      </c>
      <c r="F46" s="229"/>
      <c r="G46" s="229"/>
      <c r="H46" s="229"/>
      <c r="I46" s="229"/>
    </row>
    <row r="47" spans="1:9" x14ac:dyDescent="0.3">
      <c r="A47" s="1153"/>
      <c r="B47" s="1156"/>
      <c r="C47" s="160" t="s">
        <v>33</v>
      </c>
      <c r="D47" s="481" t="str">
        <f>IF(E47='Parametre - Agendové IS'!K105,"OK","Chyba počtu FTE")</f>
        <v>OK</v>
      </c>
      <c r="E47" s="482">
        <f t="shared" si="1"/>
        <v>0</v>
      </c>
      <c r="F47" s="229"/>
      <c r="G47" s="229"/>
      <c r="H47" s="229"/>
      <c r="I47" s="229"/>
    </row>
    <row r="48" spans="1:9" ht="15" thickBot="1" x14ac:dyDescent="0.35">
      <c r="A48" s="1153"/>
      <c r="B48" s="1156"/>
      <c r="C48" s="160" t="s">
        <v>34</v>
      </c>
      <c r="D48" s="483" t="str">
        <f>IF(E48='Parametre - Agendové IS'!K106,"OK","Chyba počtu FTE")</f>
        <v>OK</v>
      </c>
      <c r="E48" s="484">
        <f t="shared" si="1"/>
        <v>0</v>
      </c>
      <c r="F48" s="230"/>
      <c r="G48" s="230"/>
      <c r="H48" s="230"/>
      <c r="I48" s="230"/>
    </row>
    <row r="49" spans="1:9" x14ac:dyDescent="0.3">
      <c r="A49" s="1152" t="s">
        <v>41</v>
      </c>
      <c r="B49" s="1155" t="s">
        <v>37</v>
      </c>
      <c r="C49" s="163" t="s">
        <v>25</v>
      </c>
      <c r="D49" s="480" t="str">
        <f>IF(E49='Parametre - Agendové IS'!K6,"OK","Chyba počtu podaní")</f>
        <v>OK</v>
      </c>
      <c r="E49" s="485">
        <f t="shared" si="1"/>
        <v>0</v>
      </c>
      <c r="F49" s="228"/>
      <c r="G49" s="228"/>
      <c r="H49" s="228"/>
      <c r="I49" s="228"/>
    </row>
    <row r="50" spans="1:9" x14ac:dyDescent="0.3">
      <c r="A50" s="1153"/>
      <c r="B50" s="1156"/>
      <c r="C50" s="160" t="s">
        <v>26</v>
      </c>
      <c r="D50" s="481" t="str">
        <f>IF(E50='Parametre - Agendové IS'!K7,"OK","Chyba počtu podaní")</f>
        <v>OK</v>
      </c>
      <c r="E50" s="482">
        <f t="shared" si="1"/>
        <v>0</v>
      </c>
      <c r="F50" s="229"/>
      <c r="G50" s="229"/>
      <c r="H50" s="229"/>
      <c r="I50" s="229"/>
    </row>
    <row r="51" spans="1:9" x14ac:dyDescent="0.3">
      <c r="A51" s="1153"/>
      <c r="B51" s="1156"/>
      <c r="C51" s="160" t="s">
        <v>27</v>
      </c>
      <c r="D51" s="481" t="str">
        <f>IF(E51='Parametre - Agendové IS'!K8,"OK","Chyba počtu podaní")</f>
        <v>OK</v>
      </c>
      <c r="E51" s="482">
        <f t="shared" si="1"/>
        <v>0</v>
      </c>
      <c r="F51" s="229"/>
      <c r="G51" s="229"/>
      <c r="H51" s="229"/>
      <c r="I51" s="229"/>
    </row>
    <row r="52" spans="1:9" x14ac:dyDescent="0.3">
      <c r="A52" s="1153"/>
      <c r="B52" s="1156"/>
      <c r="C52" s="160" t="s">
        <v>28</v>
      </c>
      <c r="D52" s="481" t="str">
        <f>IF(E52='Parametre - Agendové IS'!K9,"OK","Chyba počtu podaní")</f>
        <v>OK</v>
      </c>
      <c r="E52" s="482">
        <f t="shared" si="1"/>
        <v>0</v>
      </c>
      <c r="F52" s="229"/>
      <c r="G52" s="229"/>
      <c r="H52" s="229"/>
      <c r="I52" s="229"/>
    </row>
    <row r="53" spans="1:9" x14ac:dyDescent="0.3">
      <c r="A53" s="1153"/>
      <c r="B53" s="1156"/>
      <c r="C53" s="160" t="s">
        <v>29</v>
      </c>
      <c r="D53" s="481" t="str">
        <f>IF(E53='Parametre - Agendové IS'!K10,"OK","Chyba počtu podaní")</f>
        <v>OK</v>
      </c>
      <c r="E53" s="482">
        <f t="shared" si="1"/>
        <v>0</v>
      </c>
      <c r="F53" s="229"/>
      <c r="G53" s="229"/>
      <c r="H53" s="229"/>
      <c r="I53" s="229"/>
    </row>
    <row r="54" spans="1:9" x14ac:dyDescent="0.3">
      <c r="A54" s="1153"/>
      <c r="B54" s="1156"/>
      <c r="C54" s="160" t="s">
        <v>30</v>
      </c>
      <c r="D54" s="481" t="str">
        <f>IF(E54='Parametre - Agendové IS'!K11,"OK","Chyba počtu podaní")</f>
        <v>OK</v>
      </c>
      <c r="E54" s="482">
        <f t="shared" si="1"/>
        <v>0</v>
      </c>
      <c r="F54" s="229"/>
      <c r="G54" s="229"/>
      <c r="H54" s="229"/>
      <c r="I54" s="229"/>
    </row>
    <row r="55" spans="1:9" x14ac:dyDescent="0.3">
      <c r="A55" s="1153"/>
      <c r="B55" s="1156"/>
      <c r="C55" s="160" t="s">
        <v>31</v>
      </c>
      <c r="D55" s="481" t="str">
        <f>IF(E55='Parametre - Agendové IS'!K12,"OK","Chyba počtu podaní")</f>
        <v>OK</v>
      </c>
      <c r="E55" s="482">
        <f t="shared" si="1"/>
        <v>0</v>
      </c>
      <c r="F55" s="229"/>
      <c r="G55" s="229"/>
      <c r="H55" s="229"/>
      <c r="I55" s="229"/>
    </row>
    <row r="56" spans="1:9" x14ac:dyDescent="0.3">
      <c r="A56" s="1153"/>
      <c r="B56" s="1156"/>
      <c r="C56" s="160" t="s">
        <v>32</v>
      </c>
      <c r="D56" s="481" t="str">
        <f>IF(E56='Parametre - Agendové IS'!K13,"OK","Chyba počtu podaní")</f>
        <v>OK</v>
      </c>
      <c r="E56" s="482">
        <f t="shared" si="1"/>
        <v>0</v>
      </c>
      <c r="F56" s="229"/>
      <c r="G56" s="229"/>
      <c r="H56" s="229"/>
      <c r="I56" s="229"/>
    </row>
    <row r="57" spans="1:9" x14ac:dyDescent="0.3">
      <c r="A57" s="1153"/>
      <c r="B57" s="1156"/>
      <c r="C57" s="160" t="s">
        <v>33</v>
      </c>
      <c r="D57" s="481" t="str">
        <f>IF(E57='Parametre - Agendové IS'!K14,"OK","Chyba počtu podaní")</f>
        <v>OK</v>
      </c>
      <c r="E57" s="482">
        <f t="shared" si="1"/>
        <v>0</v>
      </c>
      <c r="F57" s="229"/>
      <c r="G57" s="229"/>
      <c r="H57" s="229"/>
      <c r="I57" s="229"/>
    </row>
    <row r="58" spans="1:9" ht="15" thickBot="1" x14ac:dyDescent="0.35">
      <c r="A58" s="1154"/>
      <c r="B58" s="1157"/>
      <c r="C58" s="161" t="s">
        <v>34</v>
      </c>
      <c r="D58" s="481" t="str">
        <f>IF(E58='Parametre - Agendové IS'!K15,"OK","Chyba počtu podaní")</f>
        <v>OK</v>
      </c>
      <c r="E58" s="482">
        <f t="shared" si="1"/>
        <v>0</v>
      </c>
      <c r="F58" s="229"/>
      <c r="G58" s="229"/>
      <c r="H58" s="229"/>
      <c r="I58" s="229"/>
    </row>
    <row r="59" spans="1:9" x14ac:dyDescent="0.3">
      <c r="A59" s="1152" t="s">
        <v>39</v>
      </c>
      <c r="B59" s="1155" t="s">
        <v>13</v>
      </c>
      <c r="C59" s="163" t="s">
        <v>25</v>
      </c>
      <c r="D59" s="480" t="str">
        <f>IF(E59='Parametre - Agendové IS'!K147,"OK","Chyba")</f>
        <v>OK</v>
      </c>
      <c r="E59" s="485">
        <f t="shared" si="1"/>
        <v>0</v>
      </c>
      <c r="F59" s="575">
        <f>'Parametre - Agendové IS'!$K66</f>
        <v>0</v>
      </c>
      <c r="G59" s="228"/>
      <c r="H59" s="228"/>
      <c r="I59" s="228"/>
    </row>
    <row r="60" spans="1:9" x14ac:dyDescent="0.3">
      <c r="A60" s="1153"/>
      <c r="B60" s="1156"/>
      <c r="C60" s="160" t="s">
        <v>26</v>
      </c>
      <c r="D60" s="481" t="str">
        <f>IF(E60='Parametre - Agendové IS'!K148,"OK","Chyba")</f>
        <v>OK</v>
      </c>
      <c r="E60" s="482">
        <f t="shared" si="1"/>
        <v>0</v>
      </c>
      <c r="F60" s="576">
        <f>'Parametre - Agendové IS'!$K67</f>
        <v>0</v>
      </c>
      <c r="G60" s="229"/>
      <c r="H60" s="229"/>
      <c r="I60" s="229"/>
    </row>
    <row r="61" spans="1:9" x14ac:dyDescent="0.3">
      <c r="A61" s="1153"/>
      <c r="B61" s="1156"/>
      <c r="C61" s="160" t="s">
        <v>27</v>
      </c>
      <c r="D61" s="481" t="str">
        <f>IF(E61='Parametre - Agendové IS'!K149,"OK","Chyba")</f>
        <v>OK</v>
      </c>
      <c r="E61" s="482">
        <f t="shared" si="1"/>
        <v>0</v>
      </c>
      <c r="F61" s="576">
        <f>'Parametre - Agendové IS'!$K68</f>
        <v>0</v>
      </c>
      <c r="G61" s="229"/>
      <c r="H61" s="229"/>
      <c r="I61" s="229"/>
    </row>
    <row r="62" spans="1:9" x14ac:dyDescent="0.3">
      <c r="A62" s="1153"/>
      <c r="B62" s="1156"/>
      <c r="C62" s="160" t="s">
        <v>28</v>
      </c>
      <c r="D62" s="481" t="str">
        <f>IF(E62='Parametre - Agendové IS'!K150,"OK","Chyba")</f>
        <v>OK</v>
      </c>
      <c r="E62" s="482">
        <f t="shared" si="1"/>
        <v>0</v>
      </c>
      <c r="F62" s="576">
        <f>'Parametre - Agendové IS'!$K69</f>
        <v>0</v>
      </c>
      <c r="G62" s="229"/>
      <c r="H62" s="229"/>
      <c r="I62" s="229"/>
    </row>
    <row r="63" spans="1:9" x14ac:dyDescent="0.3">
      <c r="A63" s="1153"/>
      <c r="B63" s="1156"/>
      <c r="C63" s="160" t="s">
        <v>29</v>
      </c>
      <c r="D63" s="481" t="str">
        <f>IF(E63='Parametre - Agendové IS'!K151,"OK","Chyba")</f>
        <v>OK</v>
      </c>
      <c r="E63" s="482">
        <f t="shared" si="1"/>
        <v>0</v>
      </c>
      <c r="F63" s="576">
        <f>'Parametre - Agendové IS'!$K70</f>
        <v>0</v>
      </c>
      <c r="G63" s="229"/>
      <c r="H63" s="229"/>
      <c r="I63" s="229"/>
    </row>
    <row r="64" spans="1:9" x14ac:dyDescent="0.3">
      <c r="A64" s="1153"/>
      <c r="B64" s="1156"/>
      <c r="C64" s="160" t="s">
        <v>30</v>
      </c>
      <c r="D64" s="481" t="str">
        <f>IF(E64='Parametre - Agendové IS'!K152,"OK","Chyba")</f>
        <v>OK</v>
      </c>
      <c r="E64" s="482">
        <f t="shared" si="1"/>
        <v>0</v>
      </c>
      <c r="F64" s="576">
        <f>'Parametre - Agendové IS'!$K71</f>
        <v>0</v>
      </c>
      <c r="G64" s="229"/>
      <c r="H64" s="229"/>
      <c r="I64" s="229"/>
    </row>
    <row r="65" spans="1:9" x14ac:dyDescent="0.3">
      <c r="A65" s="1153"/>
      <c r="B65" s="1156"/>
      <c r="C65" s="160" t="s">
        <v>31</v>
      </c>
      <c r="D65" s="481" t="str">
        <f>IF(E65='Parametre - Agendové IS'!K153,"OK","Chyba")</f>
        <v>OK</v>
      </c>
      <c r="E65" s="482">
        <f t="shared" si="1"/>
        <v>0</v>
      </c>
      <c r="F65" s="576">
        <f>'Parametre - Agendové IS'!$K72</f>
        <v>0</v>
      </c>
      <c r="G65" s="229"/>
      <c r="H65" s="229"/>
      <c r="I65" s="229"/>
    </row>
    <row r="66" spans="1:9" x14ac:dyDescent="0.3">
      <c r="A66" s="1153"/>
      <c r="B66" s="1156"/>
      <c r="C66" s="160" t="s">
        <v>32</v>
      </c>
      <c r="D66" s="481" t="str">
        <f>IF(E66='Parametre - Agendové IS'!K154,"OK","Chyba")</f>
        <v>OK</v>
      </c>
      <c r="E66" s="482">
        <f t="shared" si="1"/>
        <v>0</v>
      </c>
      <c r="F66" s="576">
        <f>'Parametre - Agendové IS'!$K73</f>
        <v>0</v>
      </c>
      <c r="G66" s="229"/>
      <c r="H66" s="229"/>
      <c r="I66" s="229"/>
    </row>
    <row r="67" spans="1:9" x14ac:dyDescent="0.3">
      <c r="A67" s="1153"/>
      <c r="B67" s="1156"/>
      <c r="C67" s="160" t="s">
        <v>33</v>
      </c>
      <c r="D67" s="481" t="str">
        <f>IF(E67='Parametre - Agendové IS'!K155,"OK","Chyba")</f>
        <v>OK</v>
      </c>
      <c r="E67" s="482">
        <f t="shared" si="1"/>
        <v>0</v>
      </c>
      <c r="F67" s="576">
        <f>'Parametre - Agendové IS'!$K74</f>
        <v>0</v>
      </c>
      <c r="G67" s="229"/>
      <c r="H67" s="229"/>
      <c r="I67" s="229"/>
    </row>
    <row r="68" spans="1:9" ht="15" thickBot="1" x14ac:dyDescent="0.35">
      <c r="A68" s="1154"/>
      <c r="B68" s="1157"/>
      <c r="C68" s="161" t="s">
        <v>34</v>
      </c>
      <c r="D68" s="481" t="str">
        <f>IF(E68='Parametre - Agendové IS'!K156,"OK","Chyba")</f>
        <v>OK</v>
      </c>
      <c r="E68" s="482">
        <f t="shared" si="1"/>
        <v>0</v>
      </c>
      <c r="F68" s="576">
        <f>'Parametre - Agendové IS'!$K75</f>
        <v>0</v>
      </c>
      <c r="G68" s="229"/>
      <c r="H68" s="229"/>
      <c r="I68" s="229"/>
    </row>
    <row r="71" spans="1:9" ht="15" thickBot="1" x14ac:dyDescent="0.35"/>
    <row r="72" spans="1:9" x14ac:dyDescent="0.3">
      <c r="A72" s="1158">
        <f>'Parametre - Agendové IS'!M1</f>
        <v>0</v>
      </c>
      <c r="B72" s="1159"/>
      <c r="C72" s="1160"/>
      <c r="D72" s="1164" t="s">
        <v>103</v>
      </c>
      <c r="E72" s="1165"/>
      <c r="F72" s="278" t="str">
        <f>$F$2</f>
        <v>SIŽP</v>
      </c>
      <c r="G72" s="278" t="s">
        <v>157</v>
      </c>
      <c r="H72" s="278" t="s">
        <v>158</v>
      </c>
      <c r="I72" s="278" t="s">
        <v>160</v>
      </c>
    </row>
    <row r="73" spans="1:9" ht="15" thickBot="1" x14ac:dyDescent="0.35">
      <c r="A73" s="1161"/>
      <c r="B73" s="1162"/>
      <c r="C73" s="1163"/>
      <c r="D73" s="477" t="s">
        <v>313</v>
      </c>
      <c r="E73" s="478" t="s">
        <v>159</v>
      </c>
      <c r="F73" s="162" t="s">
        <v>159</v>
      </c>
      <c r="G73" s="162" t="s">
        <v>159</v>
      </c>
      <c r="H73" s="162" t="s">
        <v>159</v>
      </c>
      <c r="I73" s="162" t="s">
        <v>159</v>
      </c>
    </row>
    <row r="74" spans="1:9" x14ac:dyDescent="0.3">
      <c r="A74" s="1152" t="s">
        <v>43</v>
      </c>
      <c r="B74" s="1155" t="s">
        <v>177</v>
      </c>
      <c r="C74" s="163" t="s">
        <v>25</v>
      </c>
      <c r="D74" s="479" t="str">
        <f>IF(E74='Parametre - Agendové IS'!N97,"OK","Chyba počtu FTE")</f>
        <v>OK</v>
      </c>
      <c r="E74" s="480">
        <f t="shared" ref="E74:E103" si="2">F74+G74+H74+I74</f>
        <v>0</v>
      </c>
      <c r="F74" s="228"/>
      <c r="G74" s="228"/>
      <c r="H74" s="228"/>
      <c r="I74" s="228"/>
    </row>
    <row r="75" spans="1:9" x14ac:dyDescent="0.3">
      <c r="A75" s="1153"/>
      <c r="B75" s="1156"/>
      <c r="C75" s="160" t="s">
        <v>26</v>
      </c>
      <c r="D75" s="481" t="str">
        <f>IF(E75='Parametre - Agendové IS'!N98,"OK","Chyba počtu FTE")</f>
        <v>OK</v>
      </c>
      <c r="E75" s="482">
        <f t="shared" si="2"/>
        <v>0</v>
      </c>
      <c r="F75" s="229"/>
      <c r="G75" s="229"/>
      <c r="H75" s="229"/>
      <c r="I75" s="229"/>
    </row>
    <row r="76" spans="1:9" x14ac:dyDescent="0.3">
      <c r="A76" s="1153"/>
      <c r="B76" s="1156"/>
      <c r="C76" s="160" t="s">
        <v>27</v>
      </c>
      <c r="D76" s="481" t="str">
        <f>IF(E76='Parametre - Agendové IS'!N99,"OK","Chyba počtu FTE")</f>
        <v>OK</v>
      </c>
      <c r="E76" s="482">
        <f t="shared" si="2"/>
        <v>0</v>
      </c>
      <c r="F76" s="229"/>
      <c r="G76" s="229"/>
      <c r="H76" s="229"/>
      <c r="I76" s="229"/>
    </row>
    <row r="77" spans="1:9" x14ac:dyDescent="0.3">
      <c r="A77" s="1153"/>
      <c r="B77" s="1156"/>
      <c r="C77" s="160" t="s">
        <v>28</v>
      </c>
      <c r="D77" s="481" t="str">
        <f>IF(E77='Parametre - Agendové IS'!N100,"OK","Chyba počtu FTE")</f>
        <v>OK</v>
      </c>
      <c r="E77" s="482">
        <f t="shared" si="2"/>
        <v>0</v>
      </c>
      <c r="F77" s="229"/>
      <c r="G77" s="229"/>
      <c r="H77" s="229"/>
      <c r="I77" s="229"/>
    </row>
    <row r="78" spans="1:9" x14ac:dyDescent="0.3">
      <c r="A78" s="1153"/>
      <c r="B78" s="1156"/>
      <c r="C78" s="160" t="s">
        <v>29</v>
      </c>
      <c r="D78" s="481" t="str">
        <f>IF(E78='Parametre - Agendové IS'!N101,"OK","Chyba počtu FTE")</f>
        <v>OK</v>
      </c>
      <c r="E78" s="482">
        <f t="shared" si="2"/>
        <v>0</v>
      </c>
      <c r="F78" s="229"/>
      <c r="G78" s="229"/>
      <c r="H78" s="229"/>
      <c r="I78" s="229"/>
    </row>
    <row r="79" spans="1:9" x14ac:dyDescent="0.3">
      <c r="A79" s="1153"/>
      <c r="B79" s="1156"/>
      <c r="C79" s="160" t="s">
        <v>30</v>
      </c>
      <c r="D79" s="481" t="str">
        <f>IF(E79='Parametre - Agendové IS'!N102,"OK","Chyba počtu FTE")</f>
        <v>OK</v>
      </c>
      <c r="E79" s="482">
        <f t="shared" si="2"/>
        <v>0</v>
      </c>
      <c r="F79" s="229"/>
      <c r="G79" s="229"/>
      <c r="H79" s="229"/>
      <c r="I79" s="229"/>
    </row>
    <row r="80" spans="1:9" x14ac:dyDescent="0.3">
      <c r="A80" s="1153"/>
      <c r="B80" s="1156"/>
      <c r="C80" s="160" t="s">
        <v>31</v>
      </c>
      <c r="D80" s="481" t="str">
        <f>IF(E80='Parametre - Agendové IS'!N103,"OK","Chyba počtu FTE")</f>
        <v>OK</v>
      </c>
      <c r="E80" s="482">
        <f t="shared" si="2"/>
        <v>0</v>
      </c>
      <c r="F80" s="229"/>
      <c r="G80" s="229"/>
      <c r="H80" s="229"/>
      <c r="I80" s="229"/>
    </row>
    <row r="81" spans="1:9" x14ac:dyDescent="0.3">
      <c r="A81" s="1153"/>
      <c r="B81" s="1156"/>
      <c r="C81" s="160" t="s">
        <v>32</v>
      </c>
      <c r="D81" s="481" t="str">
        <f>IF(E81='Parametre - Agendové IS'!N104,"OK","Chyba počtu FTE")</f>
        <v>OK</v>
      </c>
      <c r="E81" s="482">
        <f t="shared" si="2"/>
        <v>0</v>
      </c>
      <c r="F81" s="229"/>
      <c r="G81" s="229"/>
      <c r="H81" s="229"/>
      <c r="I81" s="229"/>
    </row>
    <row r="82" spans="1:9" x14ac:dyDescent="0.3">
      <c r="A82" s="1153"/>
      <c r="B82" s="1156"/>
      <c r="C82" s="160" t="s">
        <v>33</v>
      </c>
      <c r="D82" s="481" t="str">
        <f>IF(E82='Parametre - Agendové IS'!N105,"OK","Chyba počtu FTE")</f>
        <v>OK</v>
      </c>
      <c r="E82" s="482">
        <f t="shared" si="2"/>
        <v>0</v>
      </c>
      <c r="F82" s="229"/>
      <c r="G82" s="229"/>
      <c r="H82" s="229"/>
      <c r="I82" s="229"/>
    </row>
    <row r="83" spans="1:9" ht="15" thickBot="1" x14ac:dyDescent="0.35">
      <c r="A83" s="1153"/>
      <c r="B83" s="1156"/>
      <c r="C83" s="160" t="s">
        <v>34</v>
      </c>
      <c r="D83" s="483" t="str">
        <f>IF(E83='Parametre - Agendové IS'!N106,"OK","Chyba počtu FTE")</f>
        <v>OK</v>
      </c>
      <c r="E83" s="484">
        <f t="shared" si="2"/>
        <v>0</v>
      </c>
      <c r="F83" s="230"/>
      <c r="G83" s="230"/>
      <c r="H83" s="230"/>
      <c r="I83" s="230"/>
    </row>
    <row r="84" spans="1:9" x14ac:dyDescent="0.3">
      <c r="A84" s="1152" t="s">
        <v>41</v>
      </c>
      <c r="B84" s="1155" t="s">
        <v>37</v>
      </c>
      <c r="C84" s="163" t="s">
        <v>25</v>
      </c>
      <c r="D84" s="480" t="str">
        <f>IF(E84='Parametre - Agendové IS'!N6,"OK","Chyba počtu podaní")</f>
        <v>OK</v>
      </c>
      <c r="E84" s="485">
        <f t="shared" si="2"/>
        <v>0</v>
      </c>
      <c r="F84" s="228"/>
      <c r="G84" s="228"/>
      <c r="H84" s="228"/>
      <c r="I84" s="228"/>
    </row>
    <row r="85" spans="1:9" x14ac:dyDescent="0.3">
      <c r="A85" s="1153"/>
      <c r="B85" s="1156"/>
      <c r="C85" s="160" t="s">
        <v>26</v>
      </c>
      <c r="D85" s="481" t="str">
        <f>IF(E85='Parametre - Agendové IS'!N7,"OK","Chyba počtu podaní")</f>
        <v>OK</v>
      </c>
      <c r="E85" s="482">
        <f t="shared" si="2"/>
        <v>0</v>
      </c>
      <c r="F85" s="229"/>
      <c r="G85" s="229"/>
      <c r="H85" s="229"/>
      <c r="I85" s="229"/>
    </row>
    <row r="86" spans="1:9" x14ac:dyDescent="0.3">
      <c r="A86" s="1153"/>
      <c r="B86" s="1156"/>
      <c r="C86" s="160" t="s">
        <v>27</v>
      </c>
      <c r="D86" s="481" t="str">
        <f>IF(E86='Parametre - Agendové IS'!N8,"OK","Chyba počtu podaní")</f>
        <v>OK</v>
      </c>
      <c r="E86" s="482">
        <f t="shared" si="2"/>
        <v>0</v>
      </c>
      <c r="F86" s="229"/>
      <c r="G86" s="229"/>
      <c r="H86" s="229"/>
      <c r="I86" s="229"/>
    </row>
    <row r="87" spans="1:9" x14ac:dyDescent="0.3">
      <c r="A87" s="1153"/>
      <c r="B87" s="1156"/>
      <c r="C87" s="160" t="s">
        <v>28</v>
      </c>
      <c r="D87" s="481" t="str">
        <f>IF(E87='Parametre - Agendové IS'!N9,"OK","Chyba počtu podaní")</f>
        <v>OK</v>
      </c>
      <c r="E87" s="482">
        <f t="shared" si="2"/>
        <v>0</v>
      </c>
      <c r="F87" s="229"/>
      <c r="G87" s="229"/>
      <c r="H87" s="229"/>
      <c r="I87" s="229"/>
    </row>
    <row r="88" spans="1:9" x14ac:dyDescent="0.3">
      <c r="A88" s="1153"/>
      <c r="B88" s="1156"/>
      <c r="C88" s="160" t="s">
        <v>29</v>
      </c>
      <c r="D88" s="481" t="str">
        <f>IF(E88='Parametre - Agendové IS'!N10,"OK","Chyba počtu podaní")</f>
        <v>OK</v>
      </c>
      <c r="E88" s="482">
        <f t="shared" si="2"/>
        <v>0</v>
      </c>
      <c r="F88" s="229"/>
      <c r="G88" s="229"/>
      <c r="H88" s="229"/>
      <c r="I88" s="229"/>
    </row>
    <row r="89" spans="1:9" x14ac:dyDescent="0.3">
      <c r="A89" s="1153"/>
      <c r="B89" s="1156"/>
      <c r="C89" s="160" t="s">
        <v>30</v>
      </c>
      <c r="D89" s="481" t="str">
        <f>IF(E89='Parametre - Agendové IS'!N11,"OK","Chyba počtu podaní")</f>
        <v>OK</v>
      </c>
      <c r="E89" s="482">
        <f t="shared" si="2"/>
        <v>0</v>
      </c>
      <c r="F89" s="229"/>
      <c r="G89" s="229"/>
      <c r="H89" s="229"/>
      <c r="I89" s="229"/>
    </row>
    <row r="90" spans="1:9" x14ac:dyDescent="0.3">
      <c r="A90" s="1153"/>
      <c r="B90" s="1156"/>
      <c r="C90" s="160" t="s">
        <v>31</v>
      </c>
      <c r="D90" s="481" t="str">
        <f>IF(E90='Parametre - Agendové IS'!N12,"OK","Chyba počtu podaní")</f>
        <v>OK</v>
      </c>
      <c r="E90" s="482">
        <f t="shared" si="2"/>
        <v>0</v>
      </c>
      <c r="F90" s="229"/>
      <c r="G90" s="229"/>
      <c r="H90" s="229"/>
      <c r="I90" s="229"/>
    </row>
    <row r="91" spans="1:9" x14ac:dyDescent="0.3">
      <c r="A91" s="1153"/>
      <c r="B91" s="1156"/>
      <c r="C91" s="160" t="s">
        <v>32</v>
      </c>
      <c r="D91" s="481" t="str">
        <f>IF(E91='Parametre - Agendové IS'!N13,"OK","Chyba počtu podaní")</f>
        <v>OK</v>
      </c>
      <c r="E91" s="482">
        <f t="shared" si="2"/>
        <v>0</v>
      </c>
      <c r="F91" s="229"/>
      <c r="G91" s="229"/>
      <c r="H91" s="229"/>
      <c r="I91" s="229"/>
    </row>
    <row r="92" spans="1:9" x14ac:dyDescent="0.3">
      <c r="A92" s="1153"/>
      <c r="B92" s="1156"/>
      <c r="C92" s="160" t="s">
        <v>33</v>
      </c>
      <c r="D92" s="481" t="str">
        <f>IF(E92='Parametre - Agendové IS'!N14,"OK","Chyba počtu podaní")</f>
        <v>OK</v>
      </c>
      <c r="E92" s="482">
        <f t="shared" si="2"/>
        <v>0</v>
      </c>
      <c r="F92" s="229"/>
      <c r="G92" s="229"/>
      <c r="H92" s="229"/>
      <c r="I92" s="229"/>
    </row>
    <row r="93" spans="1:9" ht="15" thickBot="1" x14ac:dyDescent="0.35">
      <c r="A93" s="1154"/>
      <c r="B93" s="1157"/>
      <c r="C93" s="161" t="s">
        <v>34</v>
      </c>
      <c r="D93" s="481" t="str">
        <f>IF(E93='Parametre - Agendové IS'!N15,"OK","Chyba počtu podaní")</f>
        <v>OK</v>
      </c>
      <c r="E93" s="482">
        <f t="shared" si="2"/>
        <v>0</v>
      </c>
      <c r="F93" s="229"/>
      <c r="G93" s="229"/>
      <c r="H93" s="229"/>
      <c r="I93" s="229"/>
    </row>
    <row r="94" spans="1:9" x14ac:dyDescent="0.3">
      <c r="A94" s="1152" t="s">
        <v>39</v>
      </c>
      <c r="B94" s="1155" t="s">
        <v>13</v>
      </c>
      <c r="C94" s="163" t="s">
        <v>25</v>
      </c>
      <c r="D94" s="480" t="str">
        <f>IF(E94='Parametre - Agendové IS'!N147,"OK","Chyba")</f>
        <v>OK</v>
      </c>
      <c r="E94" s="485">
        <f t="shared" si="2"/>
        <v>0</v>
      </c>
      <c r="F94" s="575">
        <f>'Parametre - Agendové IS'!$N66</f>
        <v>0</v>
      </c>
      <c r="G94" s="228"/>
      <c r="H94" s="228"/>
      <c r="I94" s="228"/>
    </row>
    <row r="95" spans="1:9" x14ac:dyDescent="0.3">
      <c r="A95" s="1153"/>
      <c r="B95" s="1156"/>
      <c r="C95" s="160" t="s">
        <v>26</v>
      </c>
      <c r="D95" s="481" t="str">
        <f>IF(E95='Parametre - Agendové IS'!N148,"OK","Chyba")</f>
        <v>OK</v>
      </c>
      <c r="E95" s="482">
        <f t="shared" si="2"/>
        <v>0</v>
      </c>
      <c r="F95" s="576">
        <f>'Parametre - Agendové IS'!$N67</f>
        <v>0</v>
      </c>
      <c r="G95" s="229"/>
      <c r="H95" s="229"/>
      <c r="I95" s="229"/>
    </row>
    <row r="96" spans="1:9" x14ac:dyDescent="0.3">
      <c r="A96" s="1153"/>
      <c r="B96" s="1156"/>
      <c r="C96" s="160" t="s">
        <v>27</v>
      </c>
      <c r="D96" s="481" t="str">
        <f>IF(E96='Parametre - Agendové IS'!N149,"OK","Chyba")</f>
        <v>OK</v>
      </c>
      <c r="E96" s="482">
        <f t="shared" si="2"/>
        <v>0</v>
      </c>
      <c r="F96" s="576">
        <f>'Parametre - Agendové IS'!$N68</f>
        <v>0</v>
      </c>
      <c r="G96" s="229"/>
      <c r="H96" s="229"/>
      <c r="I96" s="229"/>
    </row>
    <row r="97" spans="1:9" x14ac:dyDescent="0.3">
      <c r="A97" s="1153"/>
      <c r="B97" s="1156"/>
      <c r="C97" s="160" t="s">
        <v>28</v>
      </c>
      <c r="D97" s="481" t="str">
        <f>IF(E97='Parametre - Agendové IS'!N150,"OK","Chyba")</f>
        <v>OK</v>
      </c>
      <c r="E97" s="482">
        <f t="shared" si="2"/>
        <v>0</v>
      </c>
      <c r="F97" s="576">
        <f>'Parametre - Agendové IS'!$N69</f>
        <v>0</v>
      </c>
      <c r="G97" s="229"/>
      <c r="H97" s="229"/>
      <c r="I97" s="229"/>
    </row>
    <row r="98" spans="1:9" x14ac:dyDescent="0.3">
      <c r="A98" s="1153"/>
      <c r="B98" s="1156"/>
      <c r="C98" s="160" t="s">
        <v>29</v>
      </c>
      <c r="D98" s="481" t="str">
        <f>IF(E98='Parametre - Agendové IS'!N151,"OK","Chyba")</f>
        <v>OK</v>
      </c>
      <c r="E98" s="482">
        <f t="shared" si="2"/>
        <v>0</v>
      </c>
      <c r="F98" s="576">
        <f>'Parametre - Agendové IS'!$N70</f>
        <v>0</v>
      </c>
      <c r="G98" s="229"/>
      <c r="H98" s="229"/>
      <c r="I98" s="229"/>
    </row>
    <row r="99" spans="1:9" x14ac:dyDescent="0.3">
      <c r="A99" s="1153"/>
      <c r="B99" s="1156"/>
      <c r="C99" s="160" t="s">
        <v>30</v>
      </c>
      <c r="D99" s="481" t="str">
        <f>IF(E99='Parametre - Agendové IS'!N152,"OK","Chyba")</f>
        <v>OK</v>
      </c>
      <c r="E99" s="482">
        <f t="shared" si="2"/>
        <v>0</v>
      </c>
      <c r="F99" s="576">
        <f>'Parametre - Agendové IS'!$N71</f>
        <v>0</v>
      </c>
      <c r="G99" s="229"/>
      <c r="H99" s="229"/>
      <c r="I99" s="229"/>
    </row>
    <row r="100" spans="1:9" x14ac:dyDescent="0.3">
      <c r="A100" s="1153"/>
      <c r="B100" s="1156"/>
      <c r="C100" s="160" t="s">
        <v>31</v>
      </c>
      <c r="D100" s="481" t="str">
        <f>IF(E100='Parametre - Agendové IS'!N153,"OK","Chyba")</f>
        <v>OK</v>
      </c>
      <c r="E100" s="482">
        <f t="shared" si="2"/>
        <v>0</v>
      </c>
      <c r="F100" s="576">
        <f>'Parametre - Agendové IS'!$N72</f>
        <v>0</v>
      </c>
      <c r="G100" s="229"/>
      <c r="H100" s="229"/>
      <c r="I100" s="229"/>
    </row>
    <row r="101" spans="1:9" x14ac:dyDescent="0.3">
      <c r="A101" s="1153"/>
      <c r="B101" s="1156"/>
      <c r="C101" s="160" t="s">
        <v>32</v>
      </c>
      <c r="D101" s="481" t="str">
        <f>IF(E101='Parametre - Agendové IS'!N154,"OK","Chyba")</f>
        <v>OK</v>
      </c>
      <c r="E101" s="482">
        <f t="shared" si="2"/>
        <v>0</v>
      </c>
      <c r="F101" s="576">
        <f>'Parametre - Agendové IS'!$N73</f>
        <v>0</v>
      </c>
      <c r="G101" s="229"/>
      <c r="H101" s="229"/>
      <c r="I101" s="229"/>
    </row>
    <row r="102" spans="1:9" x14ac:dyDescent="0.3">
      <c r="A102" s="1153"/>
      <c r="B102" s="1156"/>
      <c r="C102" s="160" t="s">
        <v>33</v>
      </c>
      <c r="D102" s="481" t="str">
        <f>IF(E102='Parametre - Agendové IS'!N155,"OK","Chyba")</f>
        <v>OK</v>
      </c>
      <c r="E102" s="482">
        <f t="shared" si="2"/>
        <v>0</v>
      </c>
      <c r="F102" s="576">
        <f>'Parametre - Agendové IS'!$N74</f>
        <v>0</v>
      </c>
      <c r="G102" s="229"/>
      <c r="H102" s="229"/>
      <c r="I102" s="229"/>
    </row>
    <row r="103" spans="1:9" ht="15" thickBot="1" x14ac:dyDescent="0.35">
      <c r="A103" s="1154"/>
      <c r="B103" s="1157"/>
      <c r="C103" s="161" t="s">
        <v>34</v>
      </c>
      <c r="D103" s="481" t="str">
        <f>IF(E103='Parametre - Agendové IS'!N156,"OK","Chyba")</f>
        <v>OK</v>
      </c>
      <c r="E103" s="482">
        <f t="shared" si="2"/>
        <v>0</v>
      </c>
      <c r="F103" s="576">
        <f>'Parametre - Agendové IS'!$N75</f>
        <v>0</v>
      </c>
      <c r="G103" s="229"/>
      <c r="H103" s="229"/>
      <c r="I103" s="229"/>
    </row>
    <row r="106" spans="1:9" ht="15" thickBot="1" x14ac:dyDescent="0.35"/>
    <row r="107" spans="1:9" x14ac:dyDescent="0.3">
      <c r="A107" s="1158">
        <f>'Parametre - Agendové IS'!P1</f>
        <v>0</v>
      </c>
      <c r="B107" s="1159"/>
      <c r="C107" s="1160"/>
      <c r="D107" s="1164" t="s">
        <v>103</v>
      </c>
      <c r="E107" s="1165"/>
      <c r="F107" s="278" t="str">
        <f>$F$2</f>
        <v>SIŽP</v>
      </c>
      <c r="G107" s="278" t="s">
        <v>157</v>
      </c>
      <c r="H107" s="278" t="s">
        <v>158</v>
      </c>
      <c r="I107" s="278" t="s">
        <v>160</v>
      </c>
    </row>
    <row r="108" spans="1:9" ht="15" thickBot="1" x14ac:dyDescent="0.35">
      <c r="A108" s="1161"/>
      <c r="B108" s="1162"/>
      <c r="C108" s="1163"/>
      <c r="D108" s="477" t="s">
        <v>313</v>
      </c>
      <c r="E108" s="478" t="s">
        <v>159</v>
      </c>
      <c r="F108" s="162" t="s">
        <v>159</v>
      </c>
      <c r="G108" s="162" t="s">
        <v>159</v>
      </c>
      <c r="H108" s="162" t="s">
        <v>159</v>
      </c>
      <c r="I108" s="162" t="s">
        <v>159</v>
      </c>
    </row>
    <row r="109" spans="1:9" x14ac:dyDescent="0.3">
      <c r="A109" s="1152" t="s">
        <v>43</v>
      </c>
      <c r="B109" s="1155" t="s">
        <v>177</v>
      </c>
      <c r="C109" s="163" t="s">
        <v>25</v>
      </c>
      <c r="D109" s="479" t="str">
        <f>IF(E109='Parametre - Agendové IS'!Q97,"OK","Chyba počtu FTE")</f>
        <v>OK</v>
      </c>
      <c r="E109" s="480">
        <f t="shared" ref="E109:E138" si="3">F109+G109+H109+I109</f>
        <v>0</v>
      </c>
      <c r="F109" s="228"/>
      <c r="G109" s="228"/>
      <c r="H109" s="228"/>
      <c r="I109" s="228"/>
    </row>
    <row r="110" spans="1:9" x14ac:dyDescent="0.3">
      <c r="A110" s="1153"/>
      <c r="B110" s="1156"/>
      <c r="C110" s="160" t="s">
        <v>26</v>
      </c>
      <c r="D110" s="481" t="str">
        <f>IF(E110='Parametre - Agendové IS'!Q98,"OK","Chyba počtu FTE")</f>
        <v>OK</v>
      </c>
      <c r="E110" s="482">
        <f t="shared" si="3"/>
        <v>0</v>
      </c>
      <c r="F110" s="229"/>
      <c r="G110" s="229"/>
      <c r="H110" s="229"/>
      <c r="I110" s="229"/>
    </row>
    <row r="111" spans="1:9" x14ac:dyDescent="0.3">
      <c r="A111" s="1153"/>
      <c r="B111" s="1156"/>
      <c r="C111" s="160" t="s">
        <v>27</v>
      </c>
      <c r="D111" s="481" t="str">
        <f>IF(E111='Parametre - Agendové IS'!Q99,"OK","Chyba počtu FTE")</f>
        <v>OK</v>
      </c>
      <c r="E111" s="482">
        <f t="shared" si="3"/>
        <v>0</v>
      </c>
      <c r="F111" s="229"/>
      <c r="G111" s="229"/>
      <c r="H111" s="229"/>
      <c r="I111" s="229"/>
    </row>
    <row r="112" spans="1:9" x14ac:dyDescent="0.3">
      <c r="A112" s="1153"/>
      <c r="B112" s="1156"/>
      <c r="C112" s="160" t="s">
        <v>28</v>
      </c>
      <c r="D112" s="481" t="str">
        <f>IF(E112='Parametre - Agendové IS'!Q100,"OK","Chyba počtu FTE")</f>
        <v>OK</v>
      </c>
      <c r="E112" s="482">
        <f t="shared" si="3"/>
        <v>0</v>
      </c>
      <c r="F112" s="229"/>
      <c r="G112" s="229"/>
      <c r="H112" s="229"/>
      <c r="I112" s="229"/>
    </row>
    <row r="113" spans="1:9" x14ac:dyDescent="0.3">
      <c r="A113" s="1153"/>
      <c r="B113" s="1156"/>
      <c r="C113" s="160" t="s">
        <v>29</v>
      </c>
      <c r="D113" s="481" t="str">
        <f>IF(E113='Parametre - Agendové IS'!Q101,"OK","Chyba počtu FTE")</f>
        <v>OK</v>
      </c>
      <c r="E113" s="482">
        <f t="shared" si="3"/>
        <v>0</v>
      </c>
      <c r="F113" s="229"/>
      <c r="G113" s="229"/>
      <c r="H113" s="229"/>
      <c r="I113" s="229"/>
    </row>
    <row r="114" spans="1:9" x14ac:dyDescent="0.3">
      <c r="A114" s="1153"/>
      <c r="B114" s="1156"/>
      <c r="C114" s="160" t="s">
        <v>30</v>
      </c>
      <c r="D114" s="481" t="str">
        <f>IF(E114='Parametre - Agendové IS'!Q102,"OK","Chyba počtu FTE")</f>
        <v>OK</v>
      </c>
      <c r="E114" s="482">
        <f t="shared" si="3"/>
        <v>0</v>
      </c>
      <c r="F114" s="229"/>
      <c r="G114" s="229"/>
      <c r="H114" s="229"/>
      <c r="I114" s="229"/>
    </row>
    <row r="115" spans="1:9" x14ac:dyDescent="0.3">
      <c r="A115" s="1153"/>
      <c r="B115" s="1156"/>
      <c r="C115" s="160" t="s">
        <v>31</v>
      </c>
      <c r="D115" s="481" t="str">
        <f>IF(E115='Parametre - Agendové IS'!Q103,"OK","Chyba počtu FTE")</f>
        <v>OK</v>
      </c>
      <c r="E115" s="482">
        <f t="shared" si="3"/>
        <v>0</v>
      </c>
      <c r="F115" s="229"/>
      <c r="G115" s="229"/>
      <c r="H115" s="229"/>
      <c r="I115" s="229"/>
    </row>
    <row r="116" spans="1:9" x14ac:dyDescent="0.3">
      <c r="A116" s="1153"/>
      <c r="B116" s="1156"/>
      <c r="C116" s="160" t="s">
        <v>32</v>
      </c>
      <c r="D116" s="481" t="str">
        <f>IF(E116='Parametre - Agendové IS'!Q104,"OK","Chyba počtu FTE")</f>
        <v>OK</v>
      </c>
      <c r="E116" s="482">
        <f t="shared" si="3"/>
        <v>0</v>
      </c>
      <c r="F116" s="229"/>
      <c r="G116" s="229"/>
      <c r="H116" s="229"/>
      <c r="I116" s="229"/>
    </row>
    <row r="117" spans="1:9" x14ac:dyDescent="0.3">
      <c r="A117" s="1153"/>
      <c r="B117" s="1156"/>
      <c r="C117" s="160" t="s">
        <v>33</v>
      </c>
      <c r="D117" s="481" t="str">
        <f>IF(E117='Parametre - Agendové IS'!Q105,"OK","Chyba počtu FTE")</f>
        <v>OK</v>
      </c>
      <c r="E117" s="482">
        <f t="shared" si="3"/>
        <v>0</v>
      </c>
      <c r="F117" s="229"/>
      <c r="G117" s="229"/>
      <c r="H117" s="229"/>
      <c r="I117" s="229"/>
    </row>
    <row r="118" spans="1:9" ht="15" thickBot="1" x14ac:dyDescent="0.35">
      <c r="A118" s="1153"/>
      <c r="B118" s="1156"/>
      <c r="C118" s="160" t="s">
        <v>34</v>
      </c>
      <c r="D118" s="483" t="str">
        <f>IF(E118='Parametre - Agendové IS'!Q106,"OK","Chyba počtu FTE")</f>
        <v>OK</v>
      </c>
      <c r="E118" s="484">
        <f t="shared" si="3"/>
        <v>0</v>
      </c>
      <c r="F118" s="230"/>
      <c r="G118" s="230"/>
      <c r="H118" s="230"/>
      <c r="I118" s="230"/>
    </row>
    <row r="119" spans="1:9" x14ac:dyDescent="0.3">
      <c r="A119" s="1152" t="s">
        <v>41</v>
      </c>
      <c r="B119" s="1155" t="s">
        <v>37</v>
      </c>
      <c r="C119" s="163" t="s">
        <v>25</v>
      </c>
      <c r="D119" s="480" t="str">
        <f>IF(E119='Parametre - Agendové IS'!Q6,"OK","Chyba počtu podaní")</f>
        <v>OK</v>
      </c>
      <c r="E119" s="485">
        <f t="shared" si="3"/>
        <v>0</v>
      </c>
      <c r="F119" s="228"/>
      <c r="G119" s="228"/>
      <c r="H119" s="228"/>
      <c r="I119" s="228"/>
    </row>
    <row r="120" spans="1:9" x14ac:dyDescent="0.3">
      <c r="A120" s="1153"/>
      <c r="B120" s="1156"/>
      <c r="C120" s="160" t="s">
        <v>26</v>
      </c>
      <c r="D120" s="481" t="str">
        <f>IF(E120='Parametre - Agendové IS'!Q7,"OK","Chyba počtu podaní")</f>
        <v>OK</v>
      </c>
      <c r="E120" s="482">
        <f t="shared" si="3"/>
        <v>0</v>
      </c>
      <c r="F120" s="229"/>
      <c r="G120" s="229"/>
      <c r="H120" s="229"/>
      <c r="I120" s="229"/>
    </row>
    <row r="121" spans="1:9" x14ac:dyDescent="0.3">
      <c r="A121" s="1153"/>
      <c r="B121" s="1156"/>
      <c r="C121" s="160" t="s">
        <v>27</v>
      </c>
      <c r="D121" s="481" t="str">
        <f>IF(E121='Parametre - Agendové IS'!Q8,"OK","Chyba počtu podaní")</f>
        <v>OK</v>
      </c>
      <c r="E121" s="482">
        <f t="shared" si="3"/>
        <v>0</v>
      </c>
      <c r="F121" s="229"/>
      <c r="G121" s="229"/>
      <c r="H121" s="229"/>
      <c r="I121" s="229"/>
    </row>
    <row r="122" spans="1:9" x14ac:dyDescent="0.3">
      <c r="A122" s="1153"/>
      <c r="B122" s="1156"/>
      <c r="C122" s="160" t="s">
        <v>28</v>
      </c>
      <c r="D122" s="481" t="str">
        <f>IF(E122='Parametre - Agendové IS'!Q9,"OK","Chyba počtu podaní")</f>
        <v>OK</v>
      </c>
      <c r="E122" s="482">
        <f t="shared" si="3"/>
        <v>0</v>
      </c>
      <c r="F122" s="229"/>
      <c r="G122" s="229"/>
      <c r="H122" s="229"/>
      <c r="I122" s="229"/>
    </row>
    <row r="123" spans="1:9" x14ac:dyDescent="0.3">
      <c r="A123" s="1153"/>
      <c r="B123" s="1156"/>
      <c r="C123" s="160" t="s">
        <v>29</v>
      </c>
      <c r="D123" s="481" t="str">
        <f>IF(E123='Parametre - Agendové IS'!Q10,"OK","Chyba počtu podaní")</f>
        <v>OK</v>
      </c>
      <c r="E123" s="482">
        <f t="shared" si="3"/>
        <v>0</v>
      </c>
      <c r="F123" s="229"/>
      <c r="G123" s="229"/>
      <c r="H123" s="229"/>
      <c r="I123" s="229"/>
    </row>
    <row r="124" spans="1:9" x14ac:dyDescent="0.3">
      <c r="A124" s="1153"/>
      <c r="B124" s="1156"/>
      <c r="C124" s="160" t="s">
        <v>30</v>
      </c>
      <c r="D124" s="481" t="str">
        <f>IF(E124='Parametre - Agendové IS'!Q11,"OK","Chyba počtu podaní")</f>
        <v>OK</v>
      </c>
      <c r="E124" s="482">
        <f t="shared" si="3"/>
        <v>0</v>
      </c>
      <c r="F124" s="229"/>
      <c r="G124" s="229"/>
      <c r="H124" s="229"/>
      <c r="I124" s="229"/>
    </row>
    <row r="125" spans="1:9" x14ac:dyDescent="0.3">
      <c r="A125" s="1153"/>
      <c r="B125" s="1156"/>
      <c r="C125" s="160" t="s">
        <v>31</v>
      </c>
      <c r="D125" s="481" t="str">
        <f>IF(E125='Parametre - Agendové IS'!Q12,"OK","Chyba počtu podaní")</f>
        <v>OK</v>
      </c>
      <c r="E125" s="482">
        <f t="shared" si="3"/>
        <v>0</v>
      </c>
      <c r="F125" s="229"/>
      <c r="G125" s="229"/>
      <c r="H125" s="229"/>
      <c r="I125" s="229"/>
    </row>
    <row r="126" spans="1:9" x14ac:dyDescent="0.3">
      <c r="A126" s="1153"/>
      <c r="B126" s="1156"/>
      <c r="C126" s="160" t="s">
        <v>32</v>
      </c>
      <c r="D126" s="481" t="str">
        <f>IF(E126='Parametre - Agendové IS'!Q13,"OK","Chyba počtu podaní")</f>
        <v>OK</v>
      </c>
      <c r="E126" s="482">
        <f t="shared" si="3"/>
        <v>0</v>
      </c>
      <c r="F126" s="229"/>
      <c r="G126" s="229"/>
      <c r="H126" s="229"/>
      <c r="I126" s="229"/>
    </row>
    <row r="127" spans="1:9" x14ac:dyDescent="0.3">
      <c r="A127" s="1153"/>
      <c r="B127" s="1156"/>
      <c r="C127" s="160" t="s">
        <v>33</v>
      </c>
      <c r="D127" s="481" t="str">
        <f>IF(E127='Parametre - Agendové IS'!Q14,"OK","Chyba počtu podaní")</f>
        <v>OK</v>
      </c>
      <c r="E127" s="482">
        <f t="shared" si="3"/>
        <v>0</v>
      </c>
      <c r="F127" s="229"/>
      <c r="G127" s="229"/>
      <c r="H127" s="229"/>
      <c r="I127" s="229"/>
    </row>
    <row r="128" spans="1:9" ht="15" thickBot="1" x14ac:dyDescent="0.35">
      <c r="A128" s="1154"/>
      <c r="B128" s="1157"/>
      <c r="C128" s="161" t="s">
        <v>34</v>
      </c>
      <c r="D128" s="481" t="str">
        <f>IF(E128='Parametre - Agendové IS'!Q15,"OK","Chyba počtu podaní")</f>
        <v>OK</v>
      </c>
      <c r="E128" s="482">
        <f t="shared" si="3"/>
        <v>0</v>
      </c>
      <c r="F128" s="229"/>
      <c r="G128" s="229"/>
      <c r="H128" s="229"/>
      <c r="I128" s="229"/>
    </row>
    <row r="129" spans="1:9" x14ac:dyDescent="0.3">
      <c r="A129" s="1152" t="s">
        <v>39</v>
      </c>
      <c r="B129" s="1155" t="s">
        <v>13</v>
      </c>
      <c r="C129" s="163" t="s">
        <v>25</v>
      </c>
      <c r="D129" s="480" t="str">
        <f>IF(E129='Parametre - Agendové IS'!Q147,"OK","Chyba")</f>
        <v>OK</v>
      </c>
      <c r="E129" s="485">
        <f t="shared" si="3"/>
        <v>0</v>
      </c>
      <c r="F129" s="575">
        <f>'Parametre - Agendové IS'!$Q66</f>
        <v>0</v>
      </c>
      <c r="G129" s="228"/>
      <c r="H129" s="228"/>
      <c r="I129" s="228"/>
    </row>
    <row r="130" spans="1:9" x14ac:dyDescent="0.3">
      <c r="A130" s="1153"/>
      <c r="B130" s="1156"/>
      <c r="C130" s="160" t="s">
        <v>26</v>
      </c>
      <c r="D130" s="481" t="str">
        <f>IF(E130='Parametre - Agendové IS'!Q148,"OK","Chyba")</f>
        <v>OK</v>
      </c>
      <c r="E130" s="482">
        <f t="shared" si="3"/>
        <v>0</v>
      </c>
      <c r="F130" s="576">
        <f>'Parametre - Agendové IS'!$Q67</f>
        <v>0</v>
      </c>
      <c r="G130" s="229"/>
      <c r="H130" s="229"/>
      <c r="I130" s="229"/>
    </row>
    <row r="131" spans="1:9" x14ac:dyDescent="0.3">
      <c r="A131" s="1153"/>
      <c r="B131" s="1156"/>
      <c r="C131" s="160" t="s">
        <v>27</v>
      </c>
      <c r="D131" s="481" t="str">
        <f>IF(E131='Parametre - Agendové IS'!Q149,"OK","Chyba")</f>
        <v>OK</v>
      </c>
      <c r="E131" s="482">
        <f t="shared" si="3"/>
        <v>0</v>
      </c>
      <c r="F131" s="576">
        <f>'Parametre - Agendové IS'!$Q68</f>
        <v>0</v>
      </c>
      <c r="G131" s="229"/>
      <c r="H131" s="229"/>
      <c r="I131" s="229"/>
    </row>
    <row r="132" spans="1:9" x14ac:dyDescent="0.3">
      <c r="A132" s="1153"/>
      <c r="B132" s="1156"/>
      <c r="C132" s="160" t="s">
        <v>28</v>
      </c>
      <c r="D132" s="481" t="str">
        <f>IF(E132='Parametre - Agendové IS'!Q150,"OK","Chyba")</f>
        <v>OK</v>
      </c>
      <c r="E132" s="482">
        <f t="shared" si="3"/>
        <v>0</v>
      </c>
      <c r="F132" s="576">
        <f>'Parametre - Agendové IS'!$Q69</f>
        <v>0</v>
      </c>
      <c r="G132" s="229"/>
      <c r="H132" s="229"/>
      <c r="I132" s="229"/>
    </row>
    <row r="133" spans="1:9" x14ac:dyDescent="0.3">
      <c r="A133" s="1153"/>
      <c r="B133" s="1156"/>
      <c r="C133" s="160" t="s">
        <v>29</v>
      </c>
      <c r="D133" s="481" t="str">
        <f>IF(E133='Parametre - Agendové IS'!Q151,"OK","Chyba")</f>
        <v>OK</v>
      </c>
      <c r="E133" s="482">
        <f t="shared" si="3"/>
        <v>0</v>
      </c>
      <c r="F133" s="576">
        <f>'Parametre - Agendové IS'!$Q70</f>
        <v>0</v>
      </c>
      <c r="G133" s="229"/>
      <c r="H133" s="229"/>
      <c r="I133" s="229"/>
    </row>
    <row r="134" spans="1:9" x14ac:dyDescent="0.3">
      <c r="A134" s="1153"/>
      <c r="B134" s="1156"/>
      <c r="C134" s="160" t="s">
        <v>30</v>
      </c>
      <c r="D134" s="481" t="str">
        <f>IF(E134='Parametre - Agendové IS'!Q152,"OK","Chyba")</f>
        <v>OK</v>
      </c>
      <c r="E134" s="482">
        <f t="shared" si="3"/>
        <v>0</v>
      </c>
      <c r="F134" s="576">
        <f>'Parametre - Agendové IS'!$Q71</f>
        <v>0</v>
      </c>
      <c r="G134" s="229"/>
      <c r="H134" s="229"/>
      <c r="I134" s="229"/>
    </row>
    <row r="135" spans="1:9" x14ac:dyDescent="0.3">
      <c r="A135" s="1153"/>
      <c r="B135" s="1156"/>
      <c r="C135" s="160" t="s">
        <v>31</v>
      </c>
      <c r="D135" s="481" t="str">
        <f>IF(E135='Parametre - Agendové IS'!Q153,"OK","Chyba")</f>
        <v>OK</v>
      </c>
      <c r="E135" s="482">
        <f t="shared" si="3"/>
        <v>0</v>
      </c>
      <c r="F135" s="576">
        <f>'Parametre - Agendové IS'!$Q72</f>
        <v>0</v>
      </c>
      <c r="G135" s="229"/>
      <c r="H135" s="229"/>
      <c r="I135" s="229"/>
    </row>
    <row r="136" spans="1:9" x14ac:dyDescent="0.3">
      <c r="A136" s="1153"/>
      <c r="B136" s="1156"/>
      <c r="C136" s="160" t="s">
        <v>32</v>
      </c>
      <c r="D136" s="481" t="str">
        <f>IF(E136='Parametre - Agendové IS'!Q154,"OK","Chyba")</f>
        <v>OK</v>
      </c>
      <c r="E136" s="482">
        <f t="shared" si="3"/>
        <v>0</v>
      </c>
      <c r="F136" s="576">
        <f>'Parametre - Agendové IS'!$Q73</f>
        <v>0</v>
      </c>
      <c r="G136" s="229"/>
      <c r="H136" s="229"/>
      <c r="I136" s="229"/>
    </row>
    <row r="137" spans="1:9" x14ac:dyDescent="0.3">
      <c r="A137" s="1153"/>
      <c r="B137" s="1156"/>
      <c r="C137" s="160" t="s">
        <v>33</v>
      </c>
      <c r="D137" s="481" t="str">
        <f>IF(E137='Parametre - Agendové IS'!Q155,"OK","Chyba")</f>
        <v>OK</v>
      </c>
      <c r="E137" s="482">
        <f t="shared" si="3"/>
        <v>0</v>
      </c>
      <c r="F137" s="576">
        <f>'Parametre - Agendové IS'!$Q74</f>
        <v>0</v>
      </c>
      <c r="G137" s="229"/>
      <c r="H137" s="229"/>
      <c r="I137" s="229"/>
    </row>
    <row r="138" spans="1:9" ht="15" thickBot="1" x14ac:dyDescent="0.35">
      <c r="A138" s="1154"/>
      <c r="B138" s="1157"/>
      <c r="C138" s="161" t="s">
        <v>34</v>
      </c>
      <c r="D138" s="481" t="str">
        <f>IF(E138='Parametre - Agendové IS'!Q156,"OK","Chyba")</f>
        <v>OK</v>
      </c>
      <c r="E138" s="482">
        <f t="shared" si="3"/>
        <v>0</v>
      </c>
      <c r="F138" s="576">
        <f>'Parametre - Agendové IS'!$Q75</f>
        <v>0</v>
      </c>
      <c r="G138" s="229"/>
      <c r="H138" s="229"/>
      <c r="I138" s="229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8"/>
  <sheetViews>
    <sheetView workbookViewId="0">
      <selection activeCell="C8" sqref="C8"/>
    </sheetView>
  </sheetViews>
  <sheetFormatPr defaultRowHeight="14.4" x14ac:dyDescent="0.3"/>
  <cols>
    <col min="2" max="2" width="66.6640625" customWidth="1"/>
  </cols>
  <sheetData>
    <row r="2" spans="2:3" x14ac:dyDescent="0.3">
      <c r="B2" t="s">
        <v>464</v>
      </c>
      <c r="C2">
        <v>158</v>
      </c>
    </row>
    <row r="3" spans="2:3" x14ac:dyDescent="0.3">
      <c r="B3" t="s">
        <v>466</v>
      </c>
      <c r="C3" s="784">
        <v>0.6</v>
      </c>
    </row>
    <row r="4" spans="2:3" x14ac:dyDescent="0.3">
      <c r="B4" t="s">
        <v>468</v>
      </c>
      <c r="C4">
        <f>ROUND(C2*C3,0)</f>
        <v>95</v>
      </c>
    </row>
    <row r="5" spans="2:3" x14ac:dyDescent="0.3">
      <c r="B5" t="s">
        <v>465</v>
      </c>
      <c r="C5">
        <v>40</v>
      </c>
    </row>
    <row r="6" spans="2:3" x14ac:dyDescent="0.3">
      <c r="B6" t="s">
        <v>467</v>
      </c>
      <c r="C6" s="784">
        <v>0.4</v>
      </c>
    </row>
    <row r="7" spans="2:3" x14ac:dyDescent="0.3">
      <c r="B7" t="s">
        <v>469</v>
      </c>
      <c r="C7">
        <f>ROUND(C5*C6,0)</f>
        <v>16</v>
      </c>
    </row>
    <row r="8" spans="2:3" x14ac:dyDescent="0.3">
      <c r="B8" t="s">
        <v>470</v>
      </c>
      <c r="C8">
        <f>C4+C7</f>
        <v>111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B24" sqref="B24"/>
    </sheetView>
  </sheetViews>
  <sheetFormatPr defaultRowHeight="14.4" x14ac:dyDescent="0.3"/>
  <cols>
    <col min="1" max="1" width="23.33203125" customWidth="1"/>
    <col min="2" max="2" width="8.88671875" style="153"/>
    <col min="3" max="3" width="8.88671875" style="958"/>
    <col min="4" max="4" width="10" bestFit="1" customWidth="1"/>
    <col min="5" max="5" width="12" style="958" customWidth="1"/>
    <col min="6" max="6" width="12.88671875" customWidth="1"/>
  </cols>
  <sheetData>
    <row r="1" spans="1:6" s="953" customFormat="1" ht="28.8" x14ac:dyDescent="0.3">
      <c r="A1" s="953" t="s">
        <v>571</v>
      </c>
      <c r="B1" s="956" t="s">
        <v>572</v>
      </c>
      <c r="C1" s="957" t="s">
        <v>573</v>
      </c>
      <c r="D1" s="954" t="s">
        <v>574</v>
      </c>
      <c r="E1" s="957" t="s">
        <v>577</v>
      </c>
      <c r="F1" s="953" t="s">
        <v>579</v>
      </c>
    </row>
    <row r="2" spans="1:6" x14ac:dyDescent="0.3">
      <c r="A2" t="str">
        <f>'Procesy - AS IS'!B26</f>
        <v>Meranie č. 7</v>
      </c>
      <c r="B2" s="153">
        <f>'Procesy - AS IS'!AD28</f>
        <v>15.706140350877194</v>
      </c>
      <c r="C2" s="958">
        <f>'Procesy - AS IS'!AG28</f>
        <v>171</v>
      </c>
      <c r="D2" s="153">
        <f t="shared" ref="D2:D21" si="0">B2*C2</f>
        <v>2685.75</v>
      </c>
      <c r="E2" s="958">
        <f>C2</f>
        <v>171</v>
      </c>
      <c r="F2">
        <f>C2*(B2-$B$24)^2</f>
        <v>360045.45133857668</v>
      </c>
    </row>
    <row r="3" spans="1:6" x14ac:dyDescent="0.3">
      <c r="A3" t="str">
        <f>'Procesy - AS IS'!B29</f>
        <v>Meranie č. 8</v>
      </c>
      <c r="B3" s="153">
        <f>'Procesy - AS IS'!AD31</f>
        <v>24.25</v>
      </c>
      <c r="C3" s="958">
        <f>'Procesy - AS IS'!AG31</f>
        <v>36</v>
      </c>
      <c r="D3" s="153">
        <f t="shared" si="0"/>
        <v>873</v>
      </c>
      <c r="E3" s="958">
        <f>E2+C3</f>
        <v>207</v>
      </c>
      <c r="F3">
        <f t="shared" ref="F3:F21" si="1">C3*(B3-$B$24)^2</f>
        <v>50199.792047594936</v>
      </c>
    </row>
    <row r="4" spans="1:6" x14ac:dyDescent="0.3">
      <c r="A4" t="str">
        <f>'Procesy - AS IS'!B43</f>
        <v>Meranie č. 12</v>
      </c>
      <c r="B4" s="153">
        <f>'Procesy - AS IS'!AD45</f>
        <v>26.320447976878615</v>
      </c>
      <c r="C4" s="958">
        <f>'Procesy - AS IS'!AG45</f>
        <v>40</v>
      </c>
      <c r="D4" s="153">
        <f t="shared" si="0"/>
        <v>1052.8179190751446</v>
      </c>
      <c r="E4" s="958">
        <f t="shared" ref="E4:E21" si="2">E3+C4</f>
        <v>247</v>
      </c>
      <c r="F4">
        <f t="shared" si="1"/>
        <v>49763.813051403558</v>
      </c>
    </row>
    <row r="5" spans="1:6" x14ac:dyDescent="0.3">
      <c r="A5" t="str">
        <f>'Procesy - AS IS'!B32</f>
        <v>Meranie č. 9</v>
      </c>
      <c r="B5" s="153">
        <f>'Procesy - AS IS'!AD34</f>
        <v>26.75</v>
      </c>
      <c r="C5" s="958">
        <f>'Procesy - AS IS'!AG34</f>
        <v>46</v>
      </c>
      <c r="D5" s="153">
        <f t="shared" si="0"/>
        <v>1230.5</v>
      </c>
      <c r="E5" s="958">
        <f t="shared" si="2"/>
        <v>293</v>
      </c>
      <c r="F5">
        <f t="shared" si="1"/>
        <v>55842.976524203696</v>
      </c>
    </row>
    <row r="6" spans="1:6" x14ac:dyDescent="0.3">
      <c r="A6" t="str">
        <f>'Procesy - AS IS'!B40</f>
        <v>Meranie č. 11</v>
      </c>
      <c r="B6" s="153">
        <f>'Procesy - AS IS'!AD42</f>
        <v>34.063776493256263</v>
      </c>
      <c r="C6" s="958">
        <f>'Procesy - AS IS'!AG42</f>
        <v>45</v>
      </c>
      <c r="D6" s="153">
        <f t="shared" si="0"/>
        <v>1532.8699421965318</v>
      </c>
      <c r="E6" s="958">
        <f t="shared" si="2"/>
        <v>338</v>
      </c>
      <c r="F6">
        <f t="shared" si="1"/>
        <v>34101.593636260615</v>
      </c>
    </row>
    <row r="7" spans="1:6" x14ac:dyDescent="0.3">
      <c r="A7" t="str">
        <f>'Procesy - AS IS'!B54</f>
        <v>Meranie č. 15</v>
      </c>
      <c r="B7" s="153">
        <f>'Procesy - AS IS'!AD56</f>
        <v>36.149515738498792</v>
      </c>
      <c r="C7" s="958">
        <f>'Procesy - AS IS'!AG56</f>
        <v>413</v>
      </c>
      <c r="D7" s="153">
        <f t="shared" si="0"/>
        <v>14929.750000000002</v>
      </c>
      <c r="E7" s="958">
        <f t="shared" si="2"/>
        <v>751</v>
      </c>
      <c r="F7">
        <f t="shared" si="1"/>
        <v>267347.01842826366</v>
      </c>
    </row>
    <row r="8" spans="1:6" x14ac:dyDescent="0.3">
      <c r="A8" t="str">
        <f>'Procesy - AS IS'!B65</f>
        <v>Meranie č. 18</v>
      </c>
      <c r="B8" s="153">
        <f>'Procesy - AS IS'!AD67</f>
        <v>41.245614035087712</v>
      </c>
      <c r="C8" s="958">
        <f>'Procesy - AS IS'!AG67</f>
        <v>114</v>
      </c>
      <c r="D8" s="153">
        <f t="shared" si="0"/>
        <v>4701.9999999999991</v>
      </c>
      <c r="E8" s="958">
        <f t="shared" si="2"/>
        <v>865</v>
      </c>
      <c r="F8">
        <f t="shared" si="1"/>
        <v>47194.049310199567</v>
      </c>
    </row>
    <row r="9" spans="1:6" x14ac:dyDescent="0.3">
      <c r="A9" t="str">
        <f>'Procesy - AS IS'!B68</f>
        <v>Meranie č. 19</v>
      </c>
      <c r="B9" s="153">
        <f>'Procesy - AS IS'!AD70</f>
        <v>44</v>
      </c>
      <c r="C9" s="958">
        <f>'Procesy - AS IS'!AG70</f>
        <v>42</v>
      </c>
      <c r="D9" s="153">
        <f t="shared" si="0"/>
        <v>1848</v>
      </c>
      <c r="E9" s="958">
        <f t="shared" si="2"/>
        <v>907</v>
      </c>
      <c r="F9">
        <f t="shared" si="1"/>
        <v>12998.366641443075</v>
      </c>
    </row>
    <row r="10" spans="1:6" x14ac:dyDescent="0.3">
      <c r="A10" t="str">
        <f>'Procesy - AS IS'!B23</f>
        <v>Meranie č. 6</v>
      </c>
      <c r="B10" s="153">
        <f>'Procesy - AS IS'!AD25</f>
        <v>45.56555944055944</v>
      </c>
      <c r="C10" s="958">
        <f>'Procesy - AS IS'!AG25</f>
        <v>143</v>
      </c>
      <c r="D10" s="153">
        <f t="shared" si="0"/>
        <v>6515.875</v>
      </c>
      <c r="E10" s="958">
        <f t="shared" si="2"/>
        <v>1050</v>
      </c>
      <c r="F10">
        <f t="shared" si="1"/>
        <v>36729.933025894454</v>
      </c>
    </row>
    <row r="11" spans="1:6" x14ac:dyDescent="0.3">
      <c r="A11" t="str">
        <f>'Procesy - AS IS'!B37</f>
        <v>Meranie č. 10</v>
      </c>
      <c r="B11" s="961">
        <f>'Procesy - AS IS'!AD39</f>
        <v>49.952799534836004</v>
      </c>
      <c r="C11" s="958">
        <f>'Procesy - AS IS'!AG39</f>
        <v>169</v>
      </c>
      <c r="D11" s="153">
        <f t="shared" si="0"/>
        <v>8442.0231213872848</v>
      </c>
      <c r="E11" s="960">
        <f t="shared" si="2"/>
        <v>1219</v>
      </c>
      <c r="F11">
        <f t="shared" si="1"/>
        <v>22895.318756517165</v>
      </c>
    </row>
    <row r="12" spans="1:6" x14ac:dyDescent="0.3">
      <c r="A12" t="str">
        <f>'Procesy - AS IS'!B57</f>
        <v>Meranie č. 16</v>
      </c>
      <c r="B12" s="153">
        <f>'Procesy - AS IS'!AD59</f>
        <v>51.120192307692307</v>
      </c>
      <c r="C12" s="958">
        <f>'Procesy - AS IS'!AG59</f>
        <v>104</v>
      </c>
      <c r="D12" s="153">
        <f t="shared" si="0"/>
        <v>5316.5</v>
      </c>
      <c r="E12" s="958">
        <f t="shared" si="2"/>
        <v>1323</v>
      </c>
      <c r="F12">
        <f t="shared" si="1"/>
        <v>11404.910335003016</v>
      </c>
    </row>
    <row r="13" spans="1:6" x14ac:dyDescent="0.3">
      <c r="A13" t="str">
        <f>'Procesy - AS IS'!B20</f>
        <v>Meranie č. 5</v>
      </c>
      <c r="B13" s="153">
        <f>'Procesy - AS IS'!AD22</f>
        <v>51.925000000000004</v>
      </c>
      <c r="C13" s="958">
        <f>'Procesy - AS IS'!AG22</f>
        <v>35</v>
      </c>
      <c r="D13" s="153">
        <f t="shared" si="0"/>
        <v>1817.3750000000002</v>
      </c>
      <c r="E13" s="958">
        <f t="shared" si="2"/>
        <v>1358</v>
      </c>
      <c r="F13">
        <f t="shared" si="1"/>
        <v>3270.905283729207</v>
      </c>
    </row>
    <row r="14" spans="1:6" x14ac:dyDescent="0.3">
      <c r="A14" t="str">
        <f>'Procesy - AS IS'!B49</f>
        <v>Meranie č. 14</v>
      </c>
      <c r="B14" s="153">
        <f>'Procesy - AS IS'!AD51</f>
        <v>53.495486133662396</v>
      </c>
      <c r="C14" s="958">
        <f>'Procesy - AS IS'!AG51</f>
        <v>89</v>
      </c>
      <c r="D14" s="153">
        <f t="shared" si="0"/>
        <v>4761.0982658959529</v>
      </c>
      <c r="E14" s="958">
        <f t="shared" si="2"/>
        <v>1447</v>
      </c>
      <c r="F14">
        <f t="shared" si="1"/>
        <v>5834.5292227574218</v>
      </c>
    </row>
    <row r="15" spans="1:6" x14ac:dyDescent="0.3">
      <c r="A15" t="str">
        <f>'Procesy - AS IS'!B9</f>
        <v>Meranie č. 2</v>
      </c>
      <c r="B15" s="153">
        <f>'Procesy - AS IS'!AD11</f>
        <v>81.986486486486498</v>
      </c>
      <c r="C15" s="958">
        <f>'Procesy - AS IS'!AG11</f>
        <v>148</v>
      </c>
      <c r="D15" s="153">
        <f t="shared" si="0"/>
        <v>12134.000000000002</v>
      </c>
      <c r="E15" s="958">
        <f t="shared" si="2"/>
        <v>1595</v>
      </c>
      <c r="F15">
        <f t="shared" si="1"/>
        <v>61557.28400226024</v>
      </c>
    </row>
    <row r="16" spans="1:6" x14ac:dyDescent="0.3">
      <c r="A16" t="str">
        <f>'Procesy - AS IS'!B6</f>
        <v>Meranie č. 1</v>
      </c>
      <c r="B16" s="153">
        <f>'Procesy - AS IS'!AD8</f>
        <v>82.265306122448976</v>
      </c>
      <c r="C16" s="958">
        <f>'Procesy - AS IS'!AG8</f>
        <v>196</v>
      </c>
      <c r="D16" s="153">
        <f t="shared" si="0"/>
        <v>16124</v>
      </c>
      <c r="E16" s="958">
        <f t="shared" si="2"/>
        <v>1791</v>
      </c>
      <c r="F16">
        <f t="shared" si="1"/>
        <v>83766.087857358914</v>
      </c>
    </row>
    <row r="17" spans="1:6" x14ac:dyDescent="0.3">
      <c r="A17" t="str">
        <f>'Procesy - AS IS'!B15</f>
        <v>Meranie č. 4</v>
      </c>
      <c r="B17" s="153">
        <f>'Procesy - AS IS'!AD17</f>
        <v>87.491525423728817</v>
      </c>
      <c r="C17" s="958">
        <f>'Procesy - AS IS'!AG17</f>
        <v>59</v>
      </c>
      <c r="D17" s="153">
        <f t="shared" si="0"/>
        <v>5162</v>
      </c>
      <c r="E17" s="958">
        <f t="shared" si="2"/>
        <v>1850</v>
      </c>
      <c r="F17">
        <f t="shared" si="1"/>
        <v>39575.778835722267</v>
      </c>
    </row>
    <row r="18" spans="1:6" x14ac:dyDescent="0.3">
      <c r="A18" t="str">
        <f>'Procesy - AS IS'!B12</f>
        <v>Meranie č. 3</v>
      </c>
      <c r="B18" s="153">
        <f>'Procesy - AS IS'!AD14</f>
        <v>88.070680628272243</v>
      </c>
      <c r="C18" s="958">
        <f>'Procesy - AS IS'!AG14</f>
        <v>191</v>
      </c>
      <c r="D18" s="153">
        <f t="shared" si="0"/>
        <v>16821.5</v>
      </c>
      <c r="E18" s="958">
        <f t="shared" si="2"/>
        <v>2041</v>
      </c>
      <c r="F18">
        <f t="shared" si="1"/>
        <v>133912.16481853416</v>
      </c>
    </row>
    <row r="19" spans="1:6" x14ac:dyDescent="0.3">
      <c r="A19" t="str">
        <f>'Procesy - AS IS'!B62</f>
        <v>Meranie č. 17</v>
      </c>
      <c r="B19" s="153">
        <f>'Procesy - AS IS'!AD64</f>
        <v>92</v>
      </c>
      <c r="C19" s="958">
        <f>'Procesy - AS IS'!AG64</f>
        <v>11</v>
      </c>
      <c r="D19" s="153">
        <f t="shared" si="0"/>
        <v>1012</v>
      </c>
      <c r="E19" s="958">
        <f t="shared" si="2"/>
        <v>2052</v>
      </c>
      <c r="F19">
        <f t="shared" si="1"/>
        <v>10170.988352280858</v>
      </c>
    </row>
    <row r="20" spans="1:6" x14ac:dyDescent="0.3">
      <c r="A20" t="str">
        <f>'Procesy - AS IS'!B73</f>
        <v>Meranie č. 20</v>
      </c>
      <c r="B20" s="153">
        <f>'Procesy - AS IS'!AD75</f>
        <v>100.84712230215827</v>
      </c>
      <c r="C20" s="958">
        <f>'Procesy - AS IS'!AG75</f>
        <v>278</v>
      </c>
      <c r="D20" s="153">
        <f t="shared" si="0"/>
        <v>28035.5</v>
      </c>
      <c r="E20" s="958">
        <f t="shared" si="2"/>
        <v>2330</v>
      </c>
      <c r="F20">
        <f t="shared" si="1"/>
        <v>428384.16142375092</v>
      </c>
    </row>
    <row r="21" spans="1:6" x14ac:dyDescent="0.3">
      <c r="A21" t="str">
        <f>'Procesy - AS IS'!B46</f>
        <v>Meranie č. 13</v>
      </c>
      <c r="B21" s="153">
        <f>'Procesy - AS IS'!AD48</f>
        <v>160.58321010888559</v>
      </c>
      <c r="C21" s="958">
        <f>'Procesy - AS IS'!AG48</f>
        <v>86</v>
      </c>
      <c r="D21" s="153">
        <f t="shared" si="0"/>
        <v>13810.15606936416</v>
      </c>
      <c r="E21" s="958">
        <f t="shared" si="2"/>
        <v>2416</v>
      </c>
      <c r="F21">
        <f t="shared" si="1"/>
        <v>842733.20814839716</v>
      </c>
    </row>
    <row r="22" spans="1:6" x14ac:dyDescent="0.3">
      <c r="C22" s="959">
        <f>SUM(C2:C21)</f>
        <v>2416</v>
      </c>
      <c r="D22" s="955">
        <f>SUM(D2:D21)</f>
        <v>148806.71531791909</v>
      </c>
      <c r="E22" s="960">
        <f>C22/2</f>
        <v>1208</v>
      </c>
      <c r="F22">
        <f>SUM(F2:F21)</f>
        <v>2557728.3310401514</v>
      </c>
    </row>
    <row r="24" spans="1:6" x14ac:dyDescent="0.3">
      <c r="A24" t="s">
        <v>575</v>
      </c>
      <c r="B24" s="153">
        <f>D22/C22</f>
        <v>61.592183492516185</v>
      </c>
    </row>
    <row r="25" spans="1:6" x14ac:dyDescent="0.3">
      <c r="A25" t="s">
        <v>576</v>
      </c>
      <c r="B25" s="153">
        <f>B11</f>
        <v>49.952799534836004</v>
      </c>
    </row>
    <row r="26" spans="1:6" x14ac:dyDescent="0.3">
      <c r="A26" t="s">
        <v>578</v>
      </c>
      <c r="B26" s="153">
        <f>F22/C22</f>
        <v>1058.6623886755594</v>
      </c>
    </row>
    <row r="27" spans="1:6" x14ac:dyDescent="0.3">
      <c r="A27" t="s">
        <v>580</v>
      </c>
      <c r="B27" s="153">
        <f>SQRT(B26)</f>
        <v>32.537092504948248</v>
      </c>
    </row>
  </sheetData>
  <sortState ref="A2:D21">
    <sortCondition ref="B2:B21"/>
  </sortState>
  <pageMargins left="0.7" right="0.7" top="0.75" bottom="0.75" header="0.3" footer="0.3"/>
  <pageSetup paperSize="9" orientation="portrait" horizontalDpi="150" verticalDpi="15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342713</vt:lpwstr>
  </property>
  <property fmtid="{D5CDD505-2E9C-101B-9397-08002B2CF9AE}" pid="4" name="OptimizationTime">
    <vt:lpwstr>20190211_1119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Úvod</vt:lpstr>
      <vt:lpstr>Zoznam hárkov</vt:lpstr>
      <vt:lpstr>Sumarizácia</vt:lpstr>
      <vt:lpstr>CBA - Agendové IS</vt:lpstr>
      <vt:lpstr>Návratnosť v rokoch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∆</vt:lpstr>
      <vt:lpstr>Procesy - TO BE</vt:lpstr>
      <vt:lpstr>Optimalizačné opatrenia</vt:lpstr>
      <vt:lpstr>Rozdelenie prínosov</vt:lpstr>
      <vt:lpstr>Počet inšpektorov</vt:lpstr>
      <vt:lpstr>Štatistika meraní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Juraj Richter</cp:lastModifiedBy>
  <cp:lastPrinted>2018-11-17T08:29:00Z</cp:lastPrinted>
  <dcterms:created xsi:type="dcterms:W3CDTF">2015-01-29T13:50:20Z</dcterms:created>
  <dcterms:modified xsi:type="dcterms:W3CDTF">2019-02-05T20:45:49Z</dcterms:modified>
</cp:coreProperties>
</file>