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pivotTables/pivotTable1.xml" ContentType="application/vnd.openxmlformats-officedocument.spreadsheetml.pivotTabl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worksheets/sheet11.xml" ContentType="application/vnd.openxmlformats-officedocument.spreadsheetml.worksheet+xml"/>
  <Override PartName="/xl/worksheets/sheet15.xml" ContentType="application/vnd.openxmlformats-officedocument.spreadsheetml.worksheet+xml"/>
  <Override PartName="/xl/worksheets/sheet10.xml" ContentType="application/vnd.openxmlformats-officedocument.spreadsheetml.worksheet+xml"/>
  <Override PartName="/xl/worksheets/sheet14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comments2.xml" ContentType="application/vnd.openxmlformats-officedocument.spreadsheetml.comments+xml"/>
  <Override PartName="/docProps/app.xml" ContentType="application/vnd.openxmlformats-officedocument.extended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calcChain.xml" ContentType="application/vnd.openxmlformats-officedocument.spreadsheetml.calcChain+xml"/>
  <Override PartName="/xl/comments5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6.xml" ContentType="application/vnd.openxmlformats-officedocument.spreadsheetml.comments+xml"/>
  <Override PartName="/xl/comments1.xml" ContentType="application/vnd.openxmlformats-officedocument.spreadsheetml.comments+xml"/>
  <Override PartName="/xl/comments7.xml" ContentType="application/vnd.openxmlformats-officedocument.spreadsheetml.comment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ocessCons\Documents\Klienti\SIZP\D_Coord\D5_Deliverable_Approval_Form_and_deliverables\"/>
    </mc:Choice>
  </mc:AlternateContent>
  <bookViews>
    <workbookView xWindow="0" yWindow="0" windowWidth="23040" windowHeight="10872" tabRatio="703" firstSheet="6" activeTab="12"/>
  </bookViews>
  <sheets>
    <sheet name="Úvod" sheetId="5" r:id="rId1"/>
    <sheet name="Zoznam hárkov" sheetId="25" r:id="rId2"/>
    <sheet name="Sumarizácia" sheetId="20" r:id="rId3"/>
    <sheet name="CBA - Agendové IS" sheetId="2" r:id="rId4"/>
    <sheet name="Návratnosť v rokoch" sheetId="31" r:id="rId5"/>
    <sheet name="Analyza citlivosti - AgendovéIS" sheetId="7" r:id="rId6"/>
    <sheet name="Prínosy - Agendové IS" sheetId="4" r:id="rId7"/>
    <sheet name="Výdavky - Agendové IS" sheetId="6" r:id="rId8"/>
    <sheet name="Parametre - Agendové IS" sheetId="3" r:id="rId9"/>
    <sheet name="TCO" sheetId="11" r:id="rId10"/>
    <sheet name="TCO AS IS - SW" sheetId="17" r:id="rId11"/>
    <sheet name="TCO AS IS - HW" sheetId="18" r:id="rId12"/>
    <sheet name="TCO TO BE- SW" sheetId="9" r:id="rId13"/>
    <sheet name="TCO TO BE - HW" sheetId="10" r:id="rId14"/>
    <sheet name="Rozpočet - vývoj Aplikácií" sheetId="19" r:id="rId15"/>
    <sheet name="Rozpočet - HW a licencie" sheetId="27" r:id="rId16"/>
    <sheet name="Faktory" sheetId="1" r:id="rId17"/>
    <sheet name="Procesné mapy" sheetId="22" r:id="rId18"/>
    <sheet name="Procesy - AS IS" sheetId="23" r:id="rId19"/>
    <sheet name="Procesy - ∆" sheetId="33" r:id="rId20"/>
    <sheet name="Procesy - TO BE" sheetId="24" r:id="rId21"/>
    <sheet name="Štatistika meraní" sheetId="35" r:id="rId22"/>
    <sheet name="Optimalizačné opatrenia" sheetId="32" r:id="rId23"/>
    <sheet name="Rozdelenie prínosov" sheetId="14" r:id="rId24"/>
    <sheet name="Počet inšpektorov" sheetId="34" r:id="rId25"/>
    <sheet name="Slepý rozpočet" sheetId="26" r:id="rId26"/>
    <sheet name="Indik_rozp.-ALFABASE" sheetId="36" r:id="rId27"/>
    <sheet name="Indik_rozp.YMS" sheetId="37" r:id="rId28"/>
    <sheet name="Indik_rozp.-ASPECTA" sheetId="38" r:id="rId29"/>
  </sheets>
  <definedNames>
    <definedName name="_xlnm._FilterDatabase" localSheetId="26" hidden="1">'Indik_rozp.-ALFABASE'!$B$78:$B$115</definedName>
    <definedName name="_xlnm._FilterDatabase" localSheetId="28" hidden="1">'Indik_rozp.-ASPECTA'!$B$78:$B$115</definedName>
    <definedName name="_xlnm._FilterDatabase" localSheetId="27" hidden="1">Indik_rozp.YMS!$B$78:$B$115</definedName>
    <definedName name="_xlnm._FilterDatabase" localSheetId="25" hidden="1">'Slepý rozpočet'!$B$78:$B$115</definedName>
    <definedName name="_xlnm._FilterDatabase" localSheetId="12" hidden="1">'TCO TO BE- SW'!$G$1:$G$170</definedName>
    <definedName name="Zvysenie__ZvyseniePerc" localSheetId="26">#REF!</definedName>
    <definedName name="Zvysenie__ZvyseniePerc" localSheetId="28">#REF!</definedName>
    <definedName name="Zvysenie__ZvyseniePerc" localSheetId="27">#REF!</definedName>
    <definedName name="Zvysenie__ZvyseniePerc" localSheetId="19">#REF!</definedName>
    <definedName name="Zvysenie__ZvyseniePerc" localSheetId="21">#REF!</definedName>
    <definedName name="Zvysenie__ZvyseniePerc">#REF!</definedName>
  </definedNames>
  <calcPr calcId="152511"/>
  <pivotCaches>
    <pivotCache cacheId="0" r:id="rId30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447" i="33" l="1"/>
  <c r="AD52" i="24"/>
  <c r="B52" i="24" l="1"/>
  <c r="B443" i="33"/>
  <c r="C11" i="35" l="1"/>
  <c r="C12" i="35"/>
  <c r="C13" i="35"/>
  <c r="B13" i="35"/>
  <c r="C10" i="35"/>
  <c r="B10" i="35"/>
  <c r="C22" i="35"/>
  <c r="C17" i="35"/>
  <c r="B17" i="35"/>
  <c r="C8" i="35"/>
  <c r="C7" i="35"/>
  <c r="B8" i="35"/>
  <c r="C31" i="35"/>
  <c r="C30" i="35"/>
  <c r="B30" i="35"/>
  <c r="C2" i="35"/>
  <c r="B2" i="35"/>
  <c r="C5" i="35"/>
  <c r="C16" i="35"/>
  <c r="B3" i="35"/>
  <c r="C4" i="35"/>
  <c r="C3" i="35"/>
  <c r="C9" i="35"/>
  <c r="B9" i="35"/>
  <c r="C14" i="35"/>
  <c r="C19" i="35"/>
  <c r="C26" i="35"/>
  <c r="B26" i="35"/>
  <c r="C28" i="35"/>
  <c r="C25" i="35"/>
  <c r="B28" i="35"/>
  <c r="F17" i="35" l="1"/>
  <c r="F9" i="35"/>
  <c r="F30" i="35"/>
  <c r="F10" i="35"/>
  <c r="C40" i="24"/>
  <c r="C39" i="24"/>
  <c r="C34" i="24"/>
  <c r="C33" i="24"/>
  <c r="C27" i="24"/>
  <c r="C26" i="24"/>
  <c r="C18" i="24"/>
  <c r="C17" i="24"/>
  <c r="C10" i="24" l="1"/>
  <c r="C9" i="24"/>
  <c r="A7" i="24"/>
  <c r="A8" i="24" s="1"/>
  <c r="A9" i="24" l="1"/>
  <c r="C378" i="33"/>
  <c r="C390" i="33"/>
  <c r="C389" i="33"/>
  <c r="C388" i="33"/>
  <c r="C387" i="33"/>
  <c r="C386" i="33"/>
  <c r="C385" i="33"/>
  <c r="C384" i="33"/>
  <c r="C383" i="33"/>
  <c r="C382" i="33"/>
  <c r="C381" i="33"/>
  <c r="C380" i="33"/>
  <c r="C379" i="33"/>
  <c r="N377" i="33"/>
  <c r="N391" i="33" s="1"/>
  <c r="M377" i="33"/>
  <c r="M364" i="33" s="1"/>
  <c r="M39" i="24" s="1"/>
  <c r="N376" i="33"/>
  <c r="N390" i="33" s="1"/>
  <c r="M376" i="33"/>
  <c r="M390" i="33" s="1"/>
  <c r="N375" i="33"/>
  <c r="N389" i="33" s="1"/>
  <c r="M375" i="33"/>
  <c r="M389" i="33" s="1"/>
  <c r="N374" i="33"/>
  <c r="N388" i="33" s="1"/>
  <c r="M374" i="33"/>
  <c r="M388" i="33" s="1"/>
  <c r="N373" i="33"/>
  <c r="N387" i="33" s="1"/>
  <c r="M373" i="33"/>
  <c r="M387" i="33" s="1"/>
  <c r="N372" i="33"/>
  <c r="N386" i="33" s="1"/>
  <c r="M372" i="33"/>
  <c r="M386" i="33" s="1"/>
  <c r="N371" i="33"/>
  <c r="N385" i="33" s="1"/>
  <c r="M371" i="33"/>
  <c r="M385" i="33" s="1"/>
  <c r="N370" i="33"/>
  <c r="N384" i="33" s="1"/>
  <c r="M370" i="33"/>
  <c r="M384" i="33" s="1"/>
  <c r="N369" i="33"/>
  <c r="N383" i="33" s="1"/>
  <c r="M369" i="33"/>
  <c r="M383" i="33" s="1"/>
  <c r="N368" i="33"/>
  <c r="N382" i="33" s="1"/>
  <c r="M368" i="33"/>
  <c r="M382" i="33" s="1"/>
  <c r="N367" i="33"/>
  <c r="N381" i="33" s="1"/>
  <c r="M367" i="33"/>
  <c r="M381" i="33" s="1"/>
  <c r="N366" i="33"/>
  <c r="N380" i="33" s="1"/>
  <c r="M366" i="33"/>
  <c r="M380" i="33" s="1"/>
  <c r="N365" i="33"/>
  <c r="N379" i="33" s="1"/>
  <c r="M365" i="33"/>
  <c r="M379" i="33" s="1"/>
  <c r="E377" i="33"/>
  <c r="E391" i="33" s="1"/>
  <c r="E378" i="33" s="1"/>
  <c r="E40" i="24" s="1"/>
  <c r="E376" i="33"/>
  <c r="E390" i="33" s="1"/>
  <c r="E375" i="33"/>
  <c r="E389" i="33" s="1"/>
  <c r="E374" i="33"/>
  <c r="E388" i="33" s="1"/>
  <c r="E373" i="33"/>
  <c r="E387" i="33" s="1"/>
  <c r="E372" i="33"/>
  <c r="E386" i="33" s="1"/>
  <c r="E371" i="33"/>
  <c r="E385" i="33" s="1"/>
  <c r="E370" i="33"/>
  <c r="E384" i="33" s="1"/>
  <c r="E369" i="33"/>
  <c r="E383" i="33" s="1"/>
  <c r="E368" i="33"/>
  <c r="E382" i="33" s="1"/>
  <c r="E367" i="33"/>
  <c r="E381" i="33" s="1"/>
  <c r="E366" i="33"/>
  <c r="E380" i="33" s="1"/>
  <c r="E365" i="33"/>
  <c r="E379" i="33" s="1"/>
  <c r="D365" i="33"/>
  <c r="D379" i="33" s="1"/>
  <c r="D366" i="33"/>
  <c r="D380" i="33" s="1"/>
  <c r="D367" i="33"/>
  <c r="D381" i="33" s="1"/>
  <c r="D368" i="33"/>
  <c r="D382" i="33" s="1"/>
  <c r="D369" i="33"/>
  <c r="D383" i="33" s="1"/>
  <c r="D370" i="33"/>
  <c r="D384" i="33" s="1"/>
  <c r="D371" i="33"/>
  <c r="D385" i="33" s="1"/>
  <c r="D372" i="33"/>
  <c r="D386" i="33" s="1"/>
  <c r="D373" i="33"/>
  <c r="D387" i="33" s="1"/>
  <c r="D374" i="33"/>
  <c r="D388" i="33" s="1"/>
  <c r="D375" i="33"/>
  <c r="D389" i="33" s="1"/>
  <c r="D376" i="33"/>
  <c r="D390" i="33" s="1"/>
  <c r="D377" i="33"/>
  <c r="D364" i="33" s="1"/>
  <c r="D39" i="24" s="1"/>
  <c r="C364" i="33"/>
  <c r="C376" i="33"/>
  <c r="C375" i="33"/>
  <c r="C374" i="33"/>
  <c r="C373" i="33"/>
  <c r="C372" i="33"/>
  <c r="C371" i="33"/>
  <c r="C370" i="33"/>
  <c r="C369" i="33"/>
  <c r="C368" i="33"/>
  <c r="C367" i="33"/>
  <c r="C366" i="33"/>
  <c r="C365" i="33"/>
  <c r="C320" i="33"/>
  <c r="C332" i="33"/>
  <c r="C331" i="33"/>
  <c r="C330" i="33"/>
  <c r="C329" i="33"/>
  <c r="F328" i="33"/>
  <c r="C328" i="33"/>
  <c r="C327" i="33"/>
  <c r="C326" i="33"/>
  <c r="C325" i="33"/>
  <c r="C324" i="33"/>
  <c r="C323" i="33"/>
  <c r="C322" i="33"/>
  <c r="E321" i="33"/>
  <c r="C321" i="33"/>
  <c r="N319" i="33"/>
  <c r="N333" i="33" s="1"/>
  <c r="N320" i="33" s="1"/>
  <c r="N34" i="24" s="1"/>
  <c r="M319" i="33"/>
  <c r="M306" i="33" s="1"/>
  <c r="M33" i="24" s="1"/>
  <c r="N318" i="33"/>
  <c r="N332" i="33" s="1"/>
  <c r="M318" i="33"/>
  <c r="M332" i="33" s="1"/>
  <c r="N317" i="33"/>
  <c r="N331" i="33" s="1"/>
  <c r="M317" i="33"/>
  <c r="M331" i="33" s="1"/>
  <c r="N316" i="33"/>
  <c r="N330" i="33" s="1"/>
  <c r="M316" i="33"/>
  <c r="M330" i="33" s="1"/>
  <c r="N315" i="33"/>
  <c r="N329" i="33" s="1"/>
  <c r="M315" i="33"/>
  <c r="M329" i="33" s="1"/>
  <c r="N314" i="33"/>
  <c r="N328" i="33" s="1"/>
  <c r="M314" i="33"/>
  <c r="M328" i="33" s="1"/>
  <c r="N313" i="33"/>
  <c r="N327" i="33" s="1"/>
  <c r="M313" i="33"/>
  <c r="M327" i="33" s="1"/>
  <c r="N312" i="33"/>
  <c r="N326" i="33" s="1"/>
  <c r="M312" i="33"/>
  <c r="M326" i="33" s="1"/>
  <c r="N311" i="33"/>
  <c r="N325" i="33" s="1"/>
  <c r="M311" i="33"/>
  <c r="M325" i="33" s="1"/>
  <c r="N310" i="33"/>
  <c r="N324" i="33" s="1"/>
  <c r="M310" i="33"/>
  <c r="M324" i="33" s="1"/>
  <c r="N309" i="33"/>
  <c r="N323" i="33" s="1"/>
  <c r="M309" i="33"/>
  <c r="M323" i="33" s="1"/>
  <c r="N308" i="33"/>
  <c r="N322" i="33" s="1"/>
  <c r="M308" i="33"/>
  <c r="M322" i="33" s="1"/>
  <c r="N307" i="33"/>
  <c r="N321" i="33" s="1"/>
  <c r="M307" i="33"/>
  <c r="M321" i="33" s="1"/>
  <c r="F319" i="33"/>
  <c r="F333" i="33" s="1"/>
  <c r="F320" i="33" s="1"/>
  <c r="F34" i="24" s="1"/>
  <c r="E319" i="33"/>
  <c r="E333" i="33" s="1"/>
  <c r="E320" i="33" s="1"/>
  <c r="E34" i="24" s="1"/>
  <c r="F318" i="33"/>
  <c r="F332" i="33" s="1"/>
  <c r="E318" i="33"/>
  <c r="E332" i="33" s="1"/>
  <c r="F317" i="33"/>
  <c r="F331" i="33" s="1"/>
  <c r="E317" i="33"/>
  <c r="E331" i="33" s="1"/>
  <c r="F316" i="33"/>
  <c r="F330" i="33" s="1"/>
  <c r="E316" i="33"/>
  <c r="E330" i="33" s="1"/>
  <c r="F315" i="33"/>
  <c r="F329" i="33" s="1"/>
  <c r="E315" i="33"/>
  <c r="E329" i="33" s="1"/>
  <c r="F314" i="33"/>
  <c r="E314" i="33"/>
  <c r="E328" i="33" s="1"/>
  <c r="F313" i="33"/>
  <c r="F327" i="33" s="1"/>
  <c r="E313" i="33"/>
  <c r="E327" i="33" s="1"/>
  <c r="F312" i="33"/>
  <c r="F326" i="33" s="1"/>
  <c r="E312" i="33"/>
  <c r="E326" i="33" s="1"/>
  <c r="F311" i="33"/>
  <c r="F325" i="33" s="1"/>
  <c r="E311" i="33"/>
  <c r="E325" i="33" s="1"/>
  <c r="F310" i="33"/>
  <c r="F324" i="33" s="1"/>
  <c r="E310" i="33"/>
  <c r="E324" i="33" s="1"/>
  <c r="F309" i="33"/>
  <c r="F323" i="33" s="1"/>
  <c r="E309" i="33"/>
  <c r="E323" i="33" s="1"/>
  <c r="F308" i="33"/>
  <c r="F322" i="33" s="1"/>
  <c r="E308" i="33"/>
  <c r="E322" i="33" s="1"/>
  <c r="F307" i="33"/>
  <c r="F321" i="33" s="1"/>
  <c r="E307" i="33"/>
  <c r="D307" i="33"/>
  <c r="D321" i="33" s="1"/>
  <c r="D308" i="33"/>
  <c r="D322" i="33" s="1"/>
  <c r="D309" i="33"/>
  <c r="D323" i="33" s="1"/>
  <c r="D310" i="33"/>
  <c r="D324" i="33" s="1"/>
  <c r="D311" i="33"/>
  <c r="D325" i="33" s="1"/>
  <c r="D312" i="33"/>
  <c r="D326" i="33" s="1"/>
  <c r="D313" i="33"/>
  <c r="D327" i="33" s="1"/>
  <c r="D314" i="33"/>
  <c r="D328" i="33" s="1"/>
  <c r="D315" i="33"/>
  <c r="D329" i="33" s="1"/>
  <c r="D316" i="33"/>
  <c r="D330" i="33" s="1"/>
  <c r="D317" i="33"/>
  <c r="D331" i="33" s="1"/>
  <c r="D318" i="33"/>
  <c r="D332" i="33" s="1"/>
  <c r="D319" i="33"/>
  <c r="D333" i="33" s="1"/>
  <c r="D320" i="33" s="1"/>
  <c r="D34" i="24" s="1"/>
  <c r="C306" i="33"/>
  <c r="C318" i="33"/>
  <c r="C317" i="33"/>
  <c r="C316" i="33"/>
  <c r="C315" i="33"/>
  <c r="C314" i="33"/>
  <c r="C313" i="33"/>
  <c r="C312" i="33"/>
  <c r="C311" i="33"/>
  <c r="C310" i="33"/>
  <c r="C309" i="33"/>
  <c r="C308" i="33"/>
  <c r="C307" i="33"/>
  <c r="F248" i="33"/>
  <c r="F27" i="24" s="1"/>
  <c r="E248" i="33"/>
  <c r="E27" i="24" s="1"/>
  <c r="D248" i="33"/>
  <c r="D27" i="24" s="1"/>
  <c r="C248" i="33"/>
  <c r="C260" i="33"/>
  <c r="C259" i="33"/>
  <c r="C258" i="33"/>
  <c r="C257" i="33"/>
  <c r="C256" i="33"/>
  <c r="C255" i="33"/>
  <c r="C254" i="33"/>
  <c r="C253" i="33"/>
  <c r="C252" i="33"/>
  <c r="C251" i="33"/>
  <c r="C250" i="33"/>
  <c r="C249" i="33"/>
  <c r="F234" i="33"/>
  <c r="F26" i="24" s="1"/>
  <c r="E234" i="33"/>
  <c r="E26" i="24" s="1"/>
  <c r="D234" i="33"/>
  <c r="D26" i="24" s="1"/>
  <c r="C234" i="33"/>
  <c r="C246" i="33"/>
  <c r="C245" i="33"/>
  <c r="C244" i="33"/>
  <c r="C243" i="33"/>
  <c r="C242" i="33"/>
  <c r="C241" i="33"/>
  <c r="C240" i="33"/>
  <c r="C239" i="33"/>
  <c r="C238" i="33"/>
  <c r="C237" i="33"/>
  <c r="C236" i="33"/>
  <c r="C235" i="33"/>
  <c r="F148" i="33"/>
  <c r="F18" i="24" s="1"/>
  <c r="E148" i="33"/>
  <c r="E18" i="24" s="1"/>
  <c r="D148" i="33"/>
  <c r="D18" i="24" s="1"/>
  <c r="C148" i="33"/>
  <c r="C160" i="33"/>
  <c r="C159" i="33"/>
  <c r="C158" i="33"/>
  <c r="C157" i="33"/>
  <c r="C156" i="33"/>
  <c r="C155" i="33"/>
  <c r="C154" i="33"/>
  <c r="C153" i="33"/>
  <c r="C152" i="33"/>
  <c r="C151" i="33"/>
  <c r="C150" i="33"/>
  <c r="C149" i="33"/>
  <c r="F134" i="33"/>
  <c r="F17" i="24" s="1"/>
  <c r="E134" i="33"/>
  <c r="E17" i="24" s="1"/>
  <c r="D134" i="33"/>
  <c r="D17" i="24" s="1"/>
  <c r="C134" i="33"/>
  <c r="C146" i="33"/>
  <c r="C145" i="33"/>
  <c r="C144" i="33"/>
  <c r="C143" i="33"/>
  <c r="C142" i="33"/>
  <c r="C141" i="33"/>
  <c r="C140" i="33"/>
  <c r="C139" i="33"/>
  <c r="C138" i="33"/>
  <c r="C137" i="33"/>
  <c r="C136" i="33"/>
  <c r="C135" i="33"/>
  <c r="N75" i="33"/>
  <c r="N62" i="33" s="1"/>
  <c r="N10" i="24" s="1"/>
  <c r="N74" i="33"/>
  <c r="N73" i="33"/>
  <c r="N72" i="33"/>
  <c r="N71" i="33"/>
  <c r="N70" i="33"/>
  <c r="N69" i="33"/>
  <c r="N68" i="33"/>
  <c r="N67" i="33"/>
  <c r="N66" i="33"/>
  <c r="N65" i="33"/>
  <c r="N64" i="33"/>
  <c r="N63" i="33"/>
  <c r="F75" i="33"/>
  <c r="F62" i="33" s="1"/>
  <c r="F10" i="24" s="1"/>
  <c r="E75" i="33"/>
  <c r="E62" i="33" s="1"/>
  <c r="E10" i="24" s="1"/>
  <c r="D75" i="33"/>
  <c r="D62" i="33" s="1"/>
  <c r="D10" i="24" s="1"/>
  <c r="F74" i="33"/>
  <c r="E74" i="33"/>
  <c r="D74" i="33"/>
  <c r="F73" i="33"/>
  <c r="E73" i="33"/>
  <c r="D73" i="33"/>
  <c r="F72" i="33"/>
  <c r="E72" i="33"/>
  <c r="D72" i="33"/>
  <c r="F71" i="33"/>
  <c r="E71" i="33"/>
  <c r="D71" i="33"/>
  <c r="F70" i="33"/>
  <c r="E70" i="33"/>
  <c r="D70" i="33"/>
  <c r="F69" i="33"/>
  <c r="E69" i="33"/>
  <c r="D69" i="33"/>
  <c r="F68" i="33"/>
  <c r="E68" i="33"/>
  <c r="D68" i="33"/>
  <c r="F67" i="33"/>
  <c r="E67" i="33"/>
  <c r="D67" i="33"/>
  <c r="F66" i="33"/>
  <c r="E66" i="33"/>
  <c r="D66" i="33"/>
  <c r="F65" i="33"/>
  <c r="E65" i="33"/>
  <c r="D65" i="33"/>
  <c r="F64" i="33"/>
  <c r="E64" i="33"/>
  <c r="D64" i="33"/>
  <c r="F63" i="33"/>
  <c r="E63" i="33"/>
  <c r="D63" i="33"/>
  <c r="C62" i="33"/>
  <c r="C74" i="33"/>
  <c r="C73" i="33"/>
  <c r="C72" i="33"/>
  <c r="C71" i="33"/>
  <c r="C70" i="33"/>
  <c r="C69" i="33"/>
  <c r="C68" i="33"/>
  <c r="C67" i="33"/>
  <c r="C66" i="33"/>
  <c r="C65" i="33"/>
  <c r="C64" i="33"/>
  <c r="C63" i="33"/>
  <c r="R61" i="33"/>
  <c r="R48" i="33" s="1"/>
  <c r="R9" i="24" s="1"/>
  <c r="R60" i="33"/>
  <c r="R59" i="33"/>
  <c r="R58" i="33"/>
  <c r="R57" i="33"/>
  <c r="R56" i="33"/>
  <c r="R55" i="33"/>
  <c r="R54" i="33"/>
  <c r="R53" i="33"/>
  <c r="R52" i="33"/>
  <c r="R51" i="33"/>
  <c r="R50" i="33"/>
  <c r="R49" i="33"/>
  <c r="F61" i="33"/>
  <c r="F48" i="33" s="1"/>
  <c r="F9" i="24" s="1"/>
  <c r="E61" i="33"/>
  <c r="E48" i="33" s="1"/>
  <c r="E9" i="24" s="1"/>
  <c r="F60" i="33"/>
  <c r="E60" i="33"/>
  <c r="F59" i="33"/>
  <c r="E59" i="33"/>
  <c r="F58" i="33"/>
  <c r="E58" i="33"/>
  <c r="F57" i="33"/>
  <c r="E57" i="33"/>
  <c r="F56" i="33"/>
  <c r="E56" i="33"/>
  <c r="F55" i="33"/>
  <c r="E55" i="33"/>
  <c r="F54" i="33"/>
  <c r="E54" i="33"/>
  <c r="F53" i="33"/>
  <c r="E53" i="33"/>
  <c r="F52" i="33"/>
  <c r="E52" i="33"/>
  <c r="F51" i="33"/>
  <c r="E51" i="33"/>
  <c r="F50" i="33"/>
  <c r="E50" i="33"/>
  <c r="F49" i="33"/>
  <c r="E49" i="33"/>
  <c r="M391" i="33" l="1"/>
  <c r="M378" i="33" s="1"/>
  <c r="M40" i="24" s="1"/>
  <c r="E364" i="33"/>
  <c r="E39" i="24" s="1"/>
  <c r="D391" i="33"/>
  <c r="D378" i="33" s="1"/>
  <c r="D40" i="24" s="1"/>
  <c r="A10" i="24"/>
  <c r="A11" i="24" s="1"/>
  <c r="A14" i="24" s="1"/>
  <c r="A15" i="24" s="1"/>
  <c r="A16" i="24" s="1"/>
  <c r="M333" i="33"/>
  <c r="M320" i="33" s="1"/>
  <c r="M34" i="24" s="1"/>
  <c r="D306" i="33"/>
  <c r="D33" i="24" s="1"/>
  <c r="E306" i="33"/>
  <c r="E33" i="24" s="1"/>
  <c r="N306" i="33"/>
  <c r="N33" i="24" s="1"/>
  <c r="F306" i="33"/>
  <c r="F33" i="24" s="1"/>
  <c r="AE106" i="23"/>
  <c r="AE102" i="23" s="1"/>
  <c r="AG105" i="23"/>
  <c r="X105" i="23"/>
  <c r="W105" i="23"/>
  <c r="V105" i="23"/>
  <c r="Q105" i="23"/>
  <c r="P105" i="23"/>
  <c r="G105" i="23"/>
  <c r="F105" i="23"/>
  <c r="E105" i="23"/>
  <c r="D105" i="23"/>
  <c r="Z104" i="23"/>
  <c r="Z105" i="23" s="1"/>
  <c r="W104" i="23"/>
  <c r="Y104" i="23" s="1"/>
  <c r="Y105" i="23" s="1"/>
  <c r="AD103" i="23"/>
  <c r="AH102" i="23"/>
  <c r="AF102" i="23"/>
  <c r="AG101" i="23"/>
  <c r="AE101" i="23"/>
  <c r="AE85" i="23" s="1"/>
  <c r="AA100" i="23"/>
  <c r="Z100" i="23"/>
  <c r="X100" i="23"/>
  <c r="V100" i="23"/>
  <c r="Q100" i="23"/>
  <c r="P100" i="23"/>
  <c r="M100" i="23"/>
  <c r="L100" i="23"/>
  <c r="G100" i="23"/>
  <c r="F100" i="23"/>
  <c r="E100" i="23"/>
  <c r="D100" i="23"/>
  <c r="AC99" i="23"/>
  <c r="AC100" i="23" s="1"/>
  <c r="AB99" i="23"/>
  <c r="AB100" i="23" s="1"/>
  <c r="AA99" i="23"/>
  <c r="Z99" i="23"/>
  <c r="R99" i="23"/>
  <c r="AD98" i="23"/>
  <c r="AG97" i="23"/>
  <c r="Z97" i="23"/>
  <c r="X97" i="23"/>
  <c r="V97" i="23"/>
  <c r="U97" i="23"/>
  <c r="S97" i="23"/>
  <c r="R97" i="23"/>
  <c r="Q97" i="23"/>
  <c r="P97" i="23"/>
  <c r="M97" i="23"/>
  <c r="L97" i="23"/>
  <c r="G97" i="23"/>
  <c r="F97" i="23"/>
  <c r="E97" i="23"/>
  <c r="D97" i="23"/>
  <c r="Z96" i="23"/>
  <c r="AA96" i="23" s="1"/>
  <c r="U96" i="23"/>
  <c r="T96" i="23"/>
  <c r="T97" i="23" s="1"/>
  <c r="S96" i="23"/>
  <c r="R96" i="23"/>
  <c r="AD95" i="23"/>
  <c r="AA94" i="23"/>
  <c r="Z94" i="23"/>
  <c r="X94" i="23"/>
  <c r="V94" i="23"/>
  <c r="Q94" i="23"/>
  <c r="P94" i="23"/>
  <c r="M94" i="23"/>
  <c r="L94" i="23"/>
  <c r="G94" i="23"/>
  <c r="F94" i="23"/>
  <c r="E94" i="23"/>
  <c r="D94" i="23"/>
  <c r="Z93" i="23"/>
  <c r="AA93" i="23" s="1"/>
  <c r="Y93" i="23"/>
  <c r="Y94" i="23" s="1"/>
  <c r="W93" i="23"/>
  <c r="W94" i="23" s="1"/>
  <c r="AD92" i="23"/>
  <c r="AG91" i="23"/>
  <c r="X91" i="23"/>
  <c r="V91" i="23"/>
  <c r="Q91" i="23"/>
  <c r="P91" i="23"/>
  <c r="M91" i="23"/>
  <c r="L91" i="23"/>
  <c r="G91" i="23"/>
  <c r="F91" i="23"/>
  <c r="E91" i="23"/>
  <c r="D91" i="23"/>
  <c r="Z90" i="23"/>
  <c r="AD89" i="23"/>
  <c r="AG88" i="23"/>
  <c r="X88" i="23"/>
  <c r="V88" i="23"/>
  <c r="Q88" i="23"/>
  <c r="P88" i="23"/>
  <c r="M88" i="23"/>
  <c r="L88" i="23"/>
  <c r="G88" i="23"/>
  <c r="F88" i="23"/>
  <c r="E88" i="23"/>
  <c r="D88" i="23"/>
  <c r="Z87" i="23"/>
  <c r="Z88" i="23" s="1"/>
  <c r="AD86" i="23"/>
  <c r="AJ85" i="23"/>
  <c r="AH85" i="23"/>
  <c r="AF85" i="23"/>
  <c r="AE84" i="23"/>
  <c r="X83" i="23"/>
  <c r="V83" i="23"/>
  <c r="Q83" i="23"/>
  <c r="P83" i="23"/>
  <c r="N83" i="23"/>
  <c r="L83" i="23"/>
  <c r="G83" i="23"/>
  <c r="F83" i="23"/>
  <c r="E83" i="23"/>
  <c r="D83" i="23"/>
  <c r="W82" i="23"/>
  <c r="W83" i="23" s="1"/>
  <c r="AD81" i="23"/>
  <c r="AG80" i="23"/>
  <c r="W79" i="23" s="1"/>
  <c r="X80" i="23"/>
  <c r="W80" i="23"/>
  <c r="V80" i="23"/>
  <c r="Q80" i="23"/>
  <c r="P80" i="23"/>
  <c r="N80" i="23"/>
  <c r="L80" i="23"/>
  <c r="G80" i="23"/>
  <c r="F80" i="23"/>
  <c r="E80" i="23"/>
  <c r="D80" i="23"/>
  <c r="Y79" i="23"/>
  <c r="Y80" i="23" s="1"/>
  <c r="R79" i="23"/>
  <c r="AD78" i="23"/>
  <c r="X77" i="23"/>
  <c r="V77" i="23"/>
  <c r="Q77" i="23"/>
  <c r="P77" i="23"/>
  <c r="N77" i="23"/>
  <c r="L77" i="23"/>
  <c r="G77" i="23"/>
  <c r="F77" i="23"/>
  <c r="E77" i="23"/>
  <c r="D77" i="23"/>
  <c r="R76" i="23"/>
  <c r="R77" i="23" s="1"/>
  <c r="AD75" i="23"/>
  <c r="AG74" i="23"/>
  <c r="X74" i="23"/>
  <c r="V74" i="23"/>
  <c r="Q74" i="23"/>
  <c r="P74" i="23"/>
  <c r="N74" i="23"/>
  <c r="L74" i="23"/>
  <c r="G74" i="23"/>
  <c r="F74" i="23"/>
  <c r="E74" i="23"/>
  <c r="D74" i="23"/>
  <c r="T73" i="23"/>
  <c r="S73" i="23"/>
  <c r="R73" i="23"/>
  <c r="R74" i="23" s="1"/>
  <c r="AD72" i="23"/>
  <c r="AH71" i="23"/>
  <c r="AF71" i="23"/>
  <c r="AH70" i="23"/>
  <c r="AG70" i="23"/>
  <c r="AE70" i="23"/>
  <c r="AG69" i="23"/>
  <c r="AF69" i="23"/>
  <c r="X69" i="23"/>
  <c r="V69" i="23"/>
  <c r="Q69" i="23"/>
  <c r="P69" i="23"/>
  <c r="N69" i="23"/>
  <c r="M69" i="23"/>
  <c r="L69" i="23"/>
  <c r="G69" i="23"/>
  <c r="F69" i="23"/>
  <c r="E69" i="23"/>
  <c r="D69" i="23"/>
  <c r="AD67" i="23"/>
  <c r="X66" i="23"/>
  <c r="V66" i="23"/>
  <c r="Q66" i="23"/>
  <c r="P66" i="23"/>
  <c r="N66" i="23"/>
  <c r="M66" i="23"/>
  <c r="L66" i="23"/>
  <c r="G66" i="23"/>
  <c r="F66" i="23"/>
  <c r="E66" i="23"/>
  <c r="D66" i="23"/>
  <c r="AD64" i="23"/>
  <c r="AF63" i="23"/>
  <c r="X63" i="23"/>
  <c r="V63" i="23"/>
  <c r="Q63" i="23"/>
  <c r="P63" i="23"/>
  <c r="N63" i="23"/>
  <c r="M63" i="23"/>
  <c r="L63" i="23"/>
  <c r="G63" i="23"/>
  <c r="F63" i="23"/>
  <c r="E63" i="23"/>
  <c r="D63" i="23"/>
  <c r="AD61" i="23"/>
  <c r="AG60" i="23"/>
  <c r="AF60" i="23"/>
  <c r="X60" i="23"/>
  <c r="V60" i="23"/>
  <c r="Q60" i="23"/>
  <c r="P60" i="23"/>
  <c r="N60" i="23"/>
  <c r="M60" i="23"/>
  <c r="L60" i="23"/>
  <c r="G60" i="23"/>
  <c r="F60" i="23"/>
  <c r="E60" i="23"/>
  <c r="D60" i="23"/>
  <c r="AD58" i="23"/>
  <c r="AG57" i="23"/>
  <c r="AF57" i="23"/>
  <c r="X57" i="23"/>
  <c r="V57" i="23"/>
  <c r="Q57" i="23"/>
  <c r="P57" i="23"/>
  <c r="N57" i="23"/>
  <c r="M57" i="23"/>
  <c r="L57" i="23"/>
  <c r="G57" i="23"/>
  <c r="F57" i="23"/>
  <c r="E57" i="23"/>
  <c r="D57" i="23"/>
  <c r="AD55" i="23"/>
  <c r="X54" i="23"/>
  <c r="V54" i="23"/>
  <c r="Q54" i="23"/>
  <c r="P54" i="23"/>
  <c r="N54" i="23"/>
  <c r="M54" i="23"/>
  <c r="L54" i="23"/>
  <c r="G54" i="23"/>
  <c r="F54" i="23"/>
  <c r="E54" i="23"/>
  <c r="D54" i="23"/>
  <c r="AD52" i="23"/>
  <c r="AH51" i="23"/>
  <c r="AF51" i="23"/>
  <c r="AF48" i="23" s="1"/>
  <c r="X51" i="23"/>
  <c r="V51" i="23"/>
  <c r="Q51" i="23"/>
  <c r="P51" i="23"/>
  <c r="N51" i="23"/>
  <c r="M51" i="23"/>
  <c r="L51" i="23"/>
  <c r="G51" i="23"/>
  <c r="F51" i="23"/>
  <c r="E51" i="23"/>
  <c r="D51" i="23"/>
  <c r="AD49" i="23"/>
  <c r="AE48" i="23"/>
  <c r="AI47" i="23"/>
  <c r="AH47" i="23"/>
  <c r="AG47" i="23"/>
  <c r="AE47" i="23"/>
  <c r="AG46" i="23"/>
  <c r="X46" i="23"/>
  <c r="V46" i="23"/>
  <c r="U46" i="23"/>
  <c r="T46" i="23"/>
  <c r="S46" i="23"/>
  <c r="R46" i="23"/>
  <c r="Q46" i="23"/>
  <c r="P46" i="23"/>
  <c r="N46" i="23"/>
  <c r="M46" i="23"/>
  <c r="L46" i="23"/>
  <c r="G46" i="23"/>
  <c r="F46" i="23"/>
  <c r="E46" i="23"/>
  <c r="D46" i="23"/>
  <c r="Z45" i="23"/>
  <c r="Z46" i="23" s="1"/>
  <c r="W45" i="23"/>
  <c r="W46" i="23" s="1"/>
  <c r="U45" i="23"/>
  <c r="T45" i="23"/>
  <c r="S45" i="23"/>
  <c r="R45" i="23"/>
  <c r="AD44" i="23"/>
  <c r="X43" i="23"/>
  <c r="V43" i="23"/>
  <c r="Q43" i="23"/>
  <c r="P43" i="23"/>
  <c r="N43" i="23"/>
  <c r="M43" i="23"/>
  <c r="L43" i="23"/>
  <c r="G43" i="23"/>
  <c r="F43" i="23"/>
  <c r="E43" i="23"/>
  <c r="D43" i="23"/>
  <c r="Z42" i="23"/>
  <c r="W42" i="23"/>
  <c r="R42" i="23"/>
  <c r="AD41" i="23"/>
  <c r="AG40" i="23"/>
  <c r="W39" i="23" s="1"/>
  <c r="Y39" i="23" s="1"/>
  <c r="Y40" i="23" s="1"/>
  <c r="X40" i="23"/>
  <c r="W40" i="23"/>
  <c r="V40" i="23"/>
  <c r="Q40" i="23"/>
  <c r="P40" i="23"/>
  <c r="N40" i="23"/>
  <c r="M40" i="23"/>
  <c r="L40" i="23"/>
  <c r="G40" i="23"/>
  <c r="F40" i="23"/>
  <c r="E40" i="23"/>
  <c r="D40" i="23"/>
  <c r="R39" i="23"/>
  <c r="AD38" i="23"/>
  <c r="AG37" i="23"/>
  <c r="X37" i="23"/>
  <c r="V37" i="23"/>
  <c r="Q37" i="23"/>
  <c r="P37" i="23"/>
  <c r="N37" i="23"/>
  <c r="M37" i="23"/>
  <c r="L37" i="23"/>
  <c r="G37" i="23"/>
  <c r="F37" i="23"/>
  <c r="E37" i="23"/>
  <c r="D37" i="23"/>
  <c r="AD35" i="23"/>
  <c r="X34" i="23"/>
  <c r="V34" i="23"/>
  <c r="Q34" i="23"/>
  <c r="P34" i="23"/>
  <c r="N34" i="23"/>
  <c r="M34" i="23"/>
  <c r="L34" i="23"/>
  <c r="G34" i="23"/>
  <c r="F34" i="23"/>
  <c r="E34" i="23"/>
  <c r="D34" i="23"/>
  <c r="T33" i="23"/>
  <c r="T34" i="23" s="1"/>
  <c r="AD32" i="23"/>
  <c r="AH31" i="23"/>
  <c r="R33" i="23" s="1"/>
  <c r="AG31" i="23"/>
  <c r="X31" i="23"/>
  <c r="V31" i="23"/>
  <c r="Q31" i="23"/>
  <c r="P31" i="23"/>
  <c r="N31" i="23"/>
  <c r="M31" i="23"/>
  <c r="L31" i="23"/>
  <c r="G31" i="23"/>
  <c r="F31" i="23"/>
  <c r="E31" i="23"/>
  <c r="D31" i="23"/>
  <c r="AD29" i="23"/>
  <c r="AH28" i="23"/>
  <c r="AG28" i="23"/>
  <c r="X28" i="23"/>
  <c r="V28" i="23"/>
  <c r="Q28" i="23"/>
  <c r="P28" i="23"/>
  <c r="N28" i="23"/>
  <c r="M28" i="23"/>
  <c r="L28" i="23"/>
  <c r="G28" i="23"/>
  <c r="F28" i="23"/>
  <c r="E28" i="23"/>
  <c r="D28" i="23"/>
  <c r="AD26" i="23"/>
  <c r="AF25" i="23"/>
  <c r="AE25" i="23"/>
  <c r="AE24" i="23"/>
  <c r="AG24" i="23" s="1"/>
  <c r="AG23" i="23"/>
  <c r="X23" i="23"/>
  <c r="V23" i="23"/>
  <c r="Q23" i="23"/>
  <c r="P23" i="23"/>
  <c r="N23" i="23"/>
  <c r="G23" i="23"/>
  <c r="F23" i="23"/>
  <c r="E23" i="23"/>
  <c r="D23" i="23"/>
  <c r="AD21" i="23"/>
  <c r="AG20" i="23"/>
  <c r="X20" i="23"/>
  <c r="V20" i="23"/>
  <c r="U20" i="23"/>
  <c r="T20" i="23"/>
  <c r="S20" i="23"/>
  <c r="Q20" i="23"/>
  <c r="P20" i="23"/>
  <c r="N20" i="23"/>
  <c r="G20" i="23"/>
  <c r="F20" i="23"/>
  <c r="E20" i="23"/>
  <c r="D20" i="23"/>
  <c r="W19" i="23"/>
  <c r="W20" i="23" s="1"/>
  <c r="U19" i="23"/>
  <c r="T19" i="23"/>
  <c r="S19" i="23"/>
  <c r="R19" i="23"/>
  <c r="R20" i="23" s="1"/>
  <c r="AD18" i="23"/>
  <c r="Z17" i="23"/>
  <c r="X17" i="23"/>
  <c r="V17" i="23"/>
  <c r="Q17" i="23"/>
  <c r="P17" i="23"/>
  <c r="N17" i="23"/>
  <c r="G17" i="23"/>
  <c r="F17" i="23"/>
  <c r="E17" i="23"/>
  <c r="D17" i="23"/>
  <c r="AA16" i="23"/>
  <c r="AA17" i="23" s="1"/>
  <c r="Z16" i="23"/>
  <c r="R16" i="23"/>
  <c r="R17" i="23" s="1"/>
  <c r="AD15" i="23"/>
  <c r="AI14" i="23"/>
  <c r="AG14" i="23"/>
  <c r="Z14" i="23"/>
  <c r="X14" i="23"/>
  <c r="V14" i="23"/>
  <c r="Q14" i="23"/>
  <c r="P14" i="23"/>
  <c r="N14" i="23"/>
  <c r="G14" i="23"/>
  <c r="F14" i="23"/>
  <c r="E14" i="23"/>
  <c r="D14" i="23"/>
  <c r="AA13" i="23"/>
  <c r="Z13" i="23"/>
  <c r="R13" i="23"/>
  <c r="AD12" i="23"/>
  <c r="AG11" i="23"/>
  <c r="AH11" i="23" s="1"/>
  <c r="AI11" i="23" s="1"/>
  <c r="AF11" i="23"/>
  <c r="X11" i="23"/>
  <c r="V11" i="23"/>
  <c r="Q11" i="23"/>
  <c r="P11" i="23"/>
  <c r="N11" i="23"/>
  <c r="G11" i="23"/>
  <c r="F11" i="23"/>
  <c r="E11" i="23"/>
  <c r="D11" i="23"/>
  <c r="R10" i="23"/>
  <c r="R11" i="23" s="1"/>
  <c r="AD9" i="23"/>
  <c r="AH8" i="23"/>
  <c r="AI8" i="23" s="1"/>
  <c r="AG8" i="23"/>
  <c r="AF8" i="23"/>
  <c r="X8" i="23"/>
  <c r="V8" i="23"/>
  <c r="Q8" i="23"/>
  <c r="P8" i="23"/>
  <c r="N8" i="23"/>
  <c r="G8" i="23"/>
  <c r="F8" i="23"/>
  <c r="E8" i="23"/>
  <c r="D8" i="23"/>
  <c r="R7" i="23"/>
  <c r="R8" i="23" s="1"/>
  <c r="AD6" i="23"/>
  <c r="AF5" i="23"/>
  <c r="AE5" i="23"/>
  <c r="A17" i="24" l="1"/>
  <c r="AJ11" i="23"/>
  <c r="Z10" i="23" s="1"/>
  <c r="W10" i="23"/>
  <c r="AJ8" i="23"/>
  <c r="G25" i="23"/>
  <c r="Z36" i="23"/>
  <c r="W36" i="23"/>
  <c r="R53" i="23"/>
  <c r="AH48" i="23"/>
  <c r="AI70" i="23" s="1"/>
  <c r="AI51" i="23"/>
  <c r="S74" i="23"/>
  <c r="U73" i="23"/>
  <c r="S76" i="23"/>
  <c r="S77" i="23" s="1"/>
  <c r="AG84" i="23"/>
  <c r="AG71" i="23" s="1"/>
  <c r="AE71" i="23"/>
  <c r="AA14" i="23"/>
  <c r="AC13" i="23"/>
  <c r="AC14" i="23" s="1"/>
  <c r="R22" i="23"/>
  <c r="AG5" i="23"/>
  <c r="AJ24" i="23" s="1"/>
  <c r="T76" i="23"/>
  <c r="T77" i="23" s="1"/>
  <c r="T74" i="23"/>
  <c r="F25" i="23"/>
  <c r="R40" i="23"/>
  <c r="S39" i="23"/>
  <c r="T39" i="23"/>
  <c r="T40" i="23" s="1"/>
  <c r="S7" i="23"/>
  <c r="AG25" i="23"/>
  <c r="W43" i="23"/>
  <c r="Y42" i="23"/>
  <c r="Y43" i="23" s="1"/>
  <c r="T7" i="23"/>
  <c r="T8" i="23" s="1"/>
  <c r="AB16" i="23"/>
  <c r="AB17" i="23" s="1"/>
  <c r="AC16" i="23"/>
  <c r="AC17" i="23" s="1"/>
  <c r="Z91" i="23"/>
  <c r="AA90" i="23"/>
  <c r="P71" i="23"/>
  <c r="R36" i="23"/>
  <c r="T42" i="23"/>
  <c r="T43" i="23" s="1"/>
  <c r="S42" i="23"/>
  <c r="R43" i="23"/>
  <c r="AA45" i="23"/>
  <c r="W22" i="23"/>
  <c r="R34" i="23"/>
  <c r="S33" i="23"/>
  <c r="AH60" i="23"/>
  <c r="AH69" i="23"/>
  <c r="AH57" i="23"/>
  <c r="AH63" i="23"/>
  <c r="S16" i="23"/>
  <c r="T16" i="23"/>
  <c r="T17" i="23" s="1"/>
  <c r="T10" i="23"/>
  <c r="T11" i="23" s="1"/>
  <c r="S10" i="23"/>
  <c r="AB13" i="23"/>
  <c r="AB14" i="23" s="1"/>
  <c r="AI5" i="23"/>
  <c r="AJ23" i="23"/>
  <c r="Z22" i="23" s="1"/>
  <c r="AJ20" i="23"/>
  <c r="Z19" i="23" s="1"/>
  <c r="W7" i="23"/>
  <c r="R14" i="23"/>
  <c r="T13" i="23"/>
  <c r="T14" i="23" s="1"/>
  <c r="S13" i="23"/>
  <c r="W16" i="23"/>
  <c r="W13" i="23"/>
  <c r="AG51" i="23"/>
  <c r="AG63" i="23"/>
  <c r="R27" i="23"/>
  <c r="AI28" i="23"/>
  <c r="AJ47" i="23" s="1"/>
  <c r="Y19" i="23"/>
  <c r="Y20" i="23" s="1"/>
  <c r="AI31" i="23"/>
  <c r="Z43" i="23"/>
  <c r="AA42" i="23"/>
  <c r="Y82" i="23"/>
  <c r="Y83" i="23" s="1"/>
  <c r="AH5" i="23"/>
  <c r="Z39" i="23"/>
  <c r="R30" i="23"/>
  <c r="R82" i="23"/>
  <c r="R83" i="23" s="1"/>
  <c r="R80" i="23"/>
  <c r="T79" i="23"/>
  <c r="AH25" i="23"/>
  <c r="V25" i="23"/>
  <c r="Y45" i="23"/>
  <c r="Y46" i="23" s="1"/>
  <c r="X71" i="23"/>
  <c r="S79" i="23"/>
  <c r="AA87" i="23"/>
  <c r="P85" i="23"/>
  <c r="AG85" i="23"/>
  <c r="Q85" i="23" s="1"/>
  <c r="W87" i="23"/>
  <c r="R87" i="23"/>
  <c r="G85" i="23"/>
  <c r="AB93" i="23"/>
  <c r="AB94" i="23" s="1"/>
  <c r="AC93" i="23"/>
  <c r="AC94" i="23" s="1"/>
  <c r="T99" i="23"/>
  <c r="T100" i="23" s="1"/>
  <c r="R100" i="23"/>
  <c r="S99" i="23"/>
  <c r="R93" i="23"/>
  <c r="R90" i="23"/>
  <c r="AB96" i="23"/>
  <c r="AB97" i="23" s="1"/>
  <c r="AC96" i="23"/>
  <c r="AC97" i="23" s="1"/>
  <c r="AA97" i="23"/>
  <c r="R104" i="23"/>
  <c r="F71" i="23"/>
  <c r="W73" i="23"/>
  <c r="G71" i="23"/>
  <c r="W90" i="23"/>
  <c r="AA104" i="23"/>
  <c r="AG106" i="23"/>
  <c r="AG102" i="23" s="1"/>
  <c r="A18" i="24" l="1"/>
  <c r="A19" i="24" s="1"/>
  <c r="A20" i="24" s="1"/>
  <c r="A23" i="24" s="1"/>
  <c r="A24" i="24" s="1"/>
  <c r="A25" i="24" s="1"/>
  <c r="A26" i="24" s="1"/>
  <c r="F48" i="23"/>
  <c r="Q102" i="23"/>
  <c r="F102" i="23"/>
  <c r="E102" i="23"/>
  <c r="D102" i="23"/>
  <c r="Z102" i="23"/>
  <c r="S104" i="23"/>
  <c r="R105" i="23"/>
  <c r="T104" i="23"/>
  <c r="T105" i="23" s="1"/>
  <c r="T102" i="23" s="1"/>
  <c r="R31" i="23"/>
  <c r="S30" i="23"/>
  <c r="T30" i="23"/>
  <c r="T31" i="23" s="1"/>
  <c r="AC42" i="23"/>
  <c r="AC43" i="23" s="1"/>
  <c r="AA43" i="23"/>
  <c r="AB42" i="23"/>
  <c r="AB43" i="23" s="1"/>
  <c r="W102" i="23"/>
  <c r="Z23" i="23"/>
  <c r="AA22" i="23"/>
  <c r="D25" i="23"/>
  <c r="X25" i="23"/>
  <c r="M25" i="23"/>
  <c r="Q25" i="23"/>
  <c r="P25" i="23"/>
  <c r="N25" i="23"/>
  <c r="E25" i="23"/>
  <c r="T71" i="23"/>
  <c r="S53" i="23"/>
  <c r="T53" i="23"/>
  <c r="T54" i="23" s="1"/>
  <c r="R54" i="23"/>
  <c r="Z7" i="23"/>
  <c r="AJ5" i="23"/>
  <c r="X85" i="23"/>
  <c r="N102" i="23"/>
  <c r="S90" i="23"/>
  <c r="R91" i="23"/>
  <c r="T90" i="23"/>
  <c r="T91" i="23" s="1"/>
  <c r="R88" i="23"/>
  <c r="T87" i="23"/>
  <c r="T88" i="23" s="1"/>
  <c r="S87" i="23"/>
  <c r="R71" i="23"/>
  <c r="M85" i="23"/>
  <c r="Y16" i="23"/>
  <c r="Y17" i="23" s="1"/>
  <c r="W17" i="23"/>
  <c r="S17" i="23"/>
  <c r="U16" i="23"/>
  <c r="U17" i="23" s="1"/>
  <c r="Y22" i="23"/>
  <c r="Y23" i="23" s="1"/>
  <c r="W23" i="23"/>
  <c r="R50" i="23"/>
  <c r="M71" i="23"/>
  <c r="L71" i="23"/>
  <c r="V71" i="23"/>
  <c r="Q71" i="23"/>
  <c r="Y36" i="23"/>
  <c r="Y37" i="23" s="1"/>
  <c r="W37" i="23"/>
  <c r="W11" i="23"/>
  <c r="Y10" i="23"/>
  <c r="Y11" i="23" s="1"/>
  <c r="E71" i="23"/>
  <c r="S93" i="23"/>
  <c r="T93" i="23"/>
  <c r="T94" i="23" s="1"/>
  <c r="R94" i="23"/>
  <c r="Y87" i="23"/>
  <c r="Y88" i="23" s="1"/>
  <c r="W88" i="23"/>
  <c r="L85" i="23"/>
  <c r="AJ31" i="23"/>
  <c r="W33" i="23"/>
  <c r="W30" i="23"/>
  <c r="N71" i="23"/>
  <c r="U13" i="23"/>
  <c r="U14" i="23" s="1"/>
  <c r="S14" i="23"/>
  <c r="AD14" i="23" s="1"/>
  <c r="E5" i="23"/>
  <c r="AI63" i="23"/>
  <c r="R65" i="23"/>
  <c r="R62" i="23"/>
  <c r="P5" i="23"/>
  <c r="U7" i="23"/>
  <c r="U8" i="23" s="1"/>
  <c r="S8" i="23"/>
  <c r="AA36" i="23"/>
  <c r="Z37" i="23"/>
  <c r="AA10" i="23"/>
  <c r="Z11" i="23"/>
  <c r="Y90" i="23"/>
  <c r="Y91" i="23" s="1"/>
  <c r="W91" i="23"/>
  <c r="U99" i="23"/>
  <c r="U100" i="23" s="1"/>
  <c r="S100" i="23"/>
  <c r="D71" i="23"/>
  <c r="R56" i="23"/>
  <c r="AI57" i="23"/>
  <c r="AC45" i="23"/>
  <c r="AC46" i="23" s="1"/>
  <c r="AB45" i="23"/>
  <c r="AB46" i="23" s="1"/>
  <c r="AA46" i="23"/>
  <c r="AC90" i="23"/>
  <c r="AC91" i="23" s="1"/>
  <c r="AB90" i="23"/>
  <c r="AB91" i="23" s="1"/>
  <c r="AA91" i="23"/>
  <c r="Y102" i="23"/>
  <c r="E48" i="23"/>
  <c r="U76" i="23"/>
  <c r="U77" i="23" s="1"/>
  <c r="U74" i="23"/>
  <c r="R28" i="23"/>
  <c r="S27" i="23"/>
  <c r="T27" i="23"/>
  <c r="T28" i="23" s="1"/>
  <c r="W8" i="23"/>
  <c r="Y7" i="23"/>
  <c r="Y8" i="23" s="1"/>
  <c r="U33" i="23"/>
  <c r="U34" i="23" s="1"/>
  <c r="S34" i="23"/>
  <c r="W53" i="23"/>
  <c r="W50" i="23"/>
  <c r="V102" i="23"/>
  <c r="P102" i="23"/>
  <c r="G102" i="23"/>
  <c r="T36" i="23"/>
  <c r="T37" i="23" s="1"/>
  <c r="S36" i="23"/>
  <c r="R37" i="23"/>
  <c r="AI97" i="23"/>
  <c r="AI84" i="23"/>
  <c r="AI106" i="23"/>
  <c r="AI101" i="23"/>
  <c r="W14" i="23"/>
  <c r="Y13" i="23"/>
  <c r="Y14" i="23" s="1"/>
  <c r="V85" i="23"/>
  <c r="E85" i="23"/>
  <c r="F85" i="23"/>
  <c r="D85" i="23"/>
  <c r="Z85" i="23"/>
  <c r="T82" i="23"/>
  <c r="T83" i="23" s="1"/>
  <c r="T80" i="23"/>
  <c r="Z40" i="23"/>
  <c r="AA39" i="23"/>
  <c r="X102" i="23"/>
  <c r="AI69" i="23"/>
  <c r="R68" i="23"/>
  <c r="Q5" i="23"/>
  <c r="G5" i="23"/>
  <c r="X5" i="23"/>
  <c r="N5" i="23"/>
  <c r="D5" i="23"/>
  <c r="V5" i="23"/>
  <c r="F5" i="23"/>
  <c r="L25" i="23"/>
  <c r="AC87" i="23"/>
  <c r="AC88" i="23" s="1"/>
  <c r="AC85" i="23" s="1"/>
  <c r="AA88" i="23"/>
  <c r="AA85" i="23" s="1"/>
  <c r="AB87" i="23"/>
  <c r="AB88" i="23" s="1"/>
  <c r="AB85" i="23" s="1"/>
  <c r="S82" i="23"/>
  <c r="S83" i="23" s="1"/>
  <c r="S80" i="23"/>
  <c r="U79" i="23"/>
  <c r="Z20" i="23"/>
  <c r="AA19" i="23"/>
  <c r="AA105" i="23"/>
  <c r="AA102" i="23" s="1"/>
  <c r="AC104" i="23"/>
  <c r="AC105" i="23" s="1"/>
  <c r="AC102" i="23" s="1"/>
  <c r="AB104" i="23"/>
  <c r="AB105" i="23" s="1"/>
  <c r="AB102" i="23" s="1"/>
  <c r="Y73" i="23"/>
  <c r="Y74" i="23" s="1"/>
  <c r="W76" i="23"/>
  <c r="W74" i="23"/>
  <c r="AJ28" i="23"/>
  <c r="AI25" i="23"/>
  <c r="W27" i="23"/>
  <c r="G48" i="23"/>
  <c r="L48" i="23"/>
  <c r="P48" i="23"/>
  <c r="M48" i="23"/>
  <c r="AG48" i="23"/>
  <c r="X48" i="23"/>
  <c r="V48" i="23"/>
  <c r="S11" i="23"/>
  <c r="U10" i="23"/>
  <c r="U11" i="23" s="1"/>
  <c r="R59" i="23"/>
  <c r="AI60" i="23"/>
  <c r="U42" i="23"/>
  <c r="U43" i="23" s="1"/>
  <c r="AD43" i="23" s="1"/>
  <c r="S43" i="23"/>
  <c r="S40" i="23"/>
  <c r="U39" i="23"/>
  <c r="U40" i="23" s="1"/>
  <c r="S22" i="23"/>
  <c r="R23" i="23"/>
  <c r="R5" i="23" s="1"/>
  <c r="T22" i="23"/>
  <c r="T23" i="23" s="1"/>
  <c r="T5" i="23" s="1"/>
  <c r="A27" i="24" l="1"/>
  <c r="A28" i="24" s="1"/>
  <c r="A29" i="24" s="1"/>
  <c r="A32" i="24" s="1"/>
  <c r="W31" i="23"/>
  <c r="Y30" i="23"/>
  <c r="Y31" i="23" s="1"/>
  <c r="U90" i="23"/>
  <c r="U91" i="23" s="1"/>
  <c r="S91" i="23"/>
  <c r="AD91" i="23" s="1"/>
  <c r="AA23" i="23"/>
  <c r="AC22" i="23"/>
  <c r="AC23" i="23" s="1"/>
  <c r="AB22" i="23"/>
  <c r="AB23" i="23" s="1"/>
  <c r="AD23" i="23" s="1"/>
  <c r="S23" i="23"/>
  <c r="U22" i="23"/>
  <c r="U23" i="23" s="1"/>
  <c r="AD11" i="23"/>
  <c r="W28" i="23"/>
  <c r="W25" i="23" s="1"/>
  <c r="Y27" i="23"/>
  <c r="Y28" i="23" s="1"/>
  <c r="AJ57" i="23"/>
  <c r="Z56" i="23" s="1"/>
  <c r="W56" i="23"/>
  <c r="AA11" i="23"/>
  <c r="AC10" i="23"/>
  <c r="AC11" i="23" s="1"/>
  <c r="AB10" i="23"/>
  <c r="AB11" i="23" s="1"/>
  <c r="R63" i="23"/>
  <c r="T62" i="23"/>
  <c r="T63" i="23" s="1"/>
  <c r="S62" i="23"/>
  <c r="W34" i="23"/>
  <c r="Y33" i="23"/>
  <c r="Y34" i="23" s="1"/>
  <c r="AA20" i="23"/>
  <c r="AC19" i="23"/>
  <c r="AC20" i="23" s="1"/>
  <c r="AB19" i="23"/>
  <c r="AB20" i="23" s="1"/>
  <c r="Y5" i="23"/>
  <c r="T56" i="23"/>
  <c r="T57" i="23" s="1"/>
  <c r="S56" i="23"/>
  <c r="R57" i="23"/>
  <c r="S65" i="23"/>
  <c r="R66" i="23"/>
  <c r="T65" i="23"/>
  <c r="T66" i="23" s="1"/>
  <c r="Z33" i="23"/>
  <c r="Z30" i="23"/>
  <c r="S50" i="23"/>
  <c r="T50" i="23"/>
  <c r="T51" i="23" s="1"/>
  <c r="R51" i="23"/>
  <c r="R102" i="23"/>
  <c r="AD102" i="23" s="1"/>
  <c r="AJ25" i="23"/>
  <c r="Z27" i="23"/>
  <c r="AD20" i="23"/>
  <c r="AI102" i="23"/>
  <c r="W5" i="23"/>
  <c r="AA37" i="23"/>
  <c r="AC36" i="23"/>
  <c r="AC37" i="23" s="1"/>
  <c r="AB36" i="23"/>
  <c r="AB37" i="23" s="1"/>
  <c r="W65" i="23"/>
  <c r="AJ63" i="23"/>
  <c r="W62" i="23"/>
  <c r="S88" i="23"/>
  <c r="S85" i="23" s="1"/>
  <c r="U87" i="23"/>
  <c r="U88" i="23" s="1"/>
  <c r="S105" i="23"/>
  <c r="S102" i="23" s="1"/>
  <c r="U104" i="23"/>
  <c r="U105" i="23" s="1"/>
  <c r="U102" i="23" s="1"/>
  <c r="Q48" i="23"/>
  <c r="N48" i="23"/>
  <c r="W71" i="23"/>
  <c r="U80" i="23"/>
  <c r="U71" i="23" s="1"/>
  <c r="U82" i="23"/>
  <c r="U83" i="23" s="1"/>
  <c r="S71" i="23"/>
  <c r="R69" i="23"/>
  <c r="S68" i="23"/>
  <c r="T68" i="23"/>
  <c r="T69" i="23" s="1"/>
  <c r="AI71" i="23"/>
  <c r="T25" i="23"/>
  <c r="D48" i="23"/>
  <c r="T85" i="23"/>
  <c r="Z8" i="23"/>
  <c r="Z5" i="23" s="1"/>
  <c r="AA7" i="23"/>
  <c r="U93" i="23"/>
  <c r="U94" i="23" s="1"/>
  <c r="AD94" i="23" s="1"/>
  <c r="S94" i="23"/>
  <c r="Y76" i="23"/>
  <c r="Y77" i="23" s="1"/>
  <c r="W77" i="23"/>
  <c r="AJ69" i="23"/>
  <c r="Z68" i="23" s="1"/>
  <c r="W68" i="23"/>
  <c r="W99" i="23"/>
  <c r="W96" i="23"/>
  <c r="AI85" i="23"/>
  <c r="Y50" i="23"/>
  <c r="Y51" i="23" s="1"/>
  <c r="W51" i="23"/>
  <c r="U27" i="23"/>
  <c r="U28" i="23" s="1"/>
  <c r="S28" i="23"/>
  <c r="S5" i="23"/>
  <c r="R85" i="23"/>
  <c r="AJ60" i="23"/>
  <c r="Z59" i="23" s="1"/>
  <c r="W59" i="23"/>
  <c r="Y71" i="23"/>
  <c r="W54" i="23"/>
  <c r="Y53" i="23"/>
  <c r="Y54" i="23" s="1"/>
  <c r="R25" i="23"/>
  <c r="AD46" i="23"/>
  <c r="U5" i="23"/>
  <c r="AD17" i="23"/>
  <c r="S59" i="23"/>
  <c r="T59" i="23"/>
  <c r="T60" i="23" s="1"/>
  <c r="R60" i="23"/>
  <c r="AA40" i="23"/>
  <c r="AB39" i="23"/>
  <c r="AB40" i="23" s="1"/>
  <c r="AD40" i="23" s="1"/>
  <c r="AC39" i="23"/>
  <c r="AC40" i="23" s="1"/>
  <c r="U36" i="23"/>
  <c r="U37" i="23" s="1"/>
  <c r="S37" i="23"/>
  <c r="AD37" i="23" s="1"/>
  <c r="AI48" i="23"/>
  <c r="U53" i="23"/>
  <c r="U54" i="23" s="1"/>
  <c r="S54" i="23"/>
  <c r="U30" i="23"/>
  <c r="U31" i="23" s="1"/>
  <c r="S31" i="23"/>
  <c r="A33" i="24" l="1"/>
  <c r="AD5" i="23"/>
  <c r="U59" i="23"/>
  <c r="U60" i="23" s="1"/>
  <c r="S60" i="23"/>
  <c r="W60" i="23"/>
  <c r="Y59" i="23"/>
  <c r="Y60" i="23" s="1"/>
  <c r="Y68" i="23"/>
  <c r="Y69" i="23" s="1"/>
  <c r="W69" i="23"/>
  <c r="AB7" i="23"/>
  <c r="AB8" i="23" s="1"/>
  <c r="AB5" i="23" s="1"/>
  <c r="AA8" i="23"/>
  <c r="AA5" i="23" s="1"/>
  <c r="AC7" i="23"/>
  <c r="AC8" i="23" s="1"/>
  <c r="AC5" i="23" s="1"/>
  <c r="AJ80" i="23"/>
  <c r="Z79" i="23" s="1"/>
  <c r="AJ74" i="23"/>
  <c r="Z65" i="23"/>
  <c r="Z62" i="23"/>
  <c r="AJ106" i="23"/>
  <c r="AJ102" i="23" s="1"/>
  <c r="U50" i="23"/>
  <c r="U51" i="23" s="1"/>
  <c r="S51" i="23"/>
  <c r="AA59" i="23"/>
  <c r="Z60" i="23"/>
  <c r="S25" i="23"/>
  <c r="Z69" i="23"/>
  <c r="AA68" i="23"/>
  <c r="Y65" i="23"/>
  <c r="Y66" i="23" s="1"/>
  <c r="W66" i="23"/>
  <c r="Z31" i="23"/>
  <c r="AA30" i="23"/>
  <c r="U25" i="23"/>
  <c r="Z28" i="23"/>
  <c r="Z25" i="23" s="1"/>
  <c r="AA27" i="23"/>
  <c r="Z34" i="23"/>
  <c r="AA33" i="23"/>
  <c r="S69" i="23"/>
  <c r="U68" i="23"/>
  <c r="U69" i="23" s="1"/>
  <c r="AJ70" i="23"/>
  <c r="AJ51" i="23"/>
  <c r="AD88" i="23"/>
  <c r="AD105" i="23"/>
  <c r="U85" i="23"/>
  <c r="S66" i="23"/>
  <c r="U65" i="23"/>
  <c r="U66" i="23" s="1"/>
  <c r="W57" i="23"/>
  <c r="Y56" i="23"/>
  <c r="Y57" i="23" s="1"/>
  <c r="Y48" i="23" s="1"/>
  <c r="W97" i="23"/>
  <c r="Y96" i="23"/>
  <c r="Y97" i="23" s="1"/>
  <c r="R48" i="23"/>
  <c r="AA56" i="23"/>
  <c r="Z57" i="23"/>
  <c r="AD8" i="23"/>
  <c r="Y99" i="23"/>
  <c r="Y100" i="23" s="1"/>
  <c r="W100" i="23"/>
  <c r="AJ84" i="23"/>
  <c r="W63" i="23"/>
  <c r="W48" i="23" s="1"/>
  <c r="Y62" i="23"/>
  <c r="Y63" i="23" s="1"/>
  <c r="T48" i="23"/>
  <c r="U56" i="23"/>
  <c r="U57" i="23" s="1"/>
  <c r="S57" i="23"/>
  <c r="U62" i="23"/>
  <c r="U63" i="23" s="1"/>
  <c r="S63" i="23"/>
  <c r="Y25" i="23"/>
  <c r="A34" i="24" l="1"/>
  <c r="A35" i="24" s="1"/>
  <c r="A38" i="24" s="1"/>
  <c r="A39" i="24" s="1"/>
  <c r="AD97" i="23"/>
  <c r="W85" i="23"/>
  <c r="Z80" i="23"/>
  <c r="Z82" i="23"/>
  <c r="Z83" i="23" s="1"/>
  <c r="AA79" i="23"/>
  <c r="AA31" i="23"/>
  <c r="AC30" i="23"/>
  <c r="AC31" i="23" s="1"/>
  <c r="AB30" i="23"/>
  <c r="AB31" i="23" s="1"/>
  <c r="AC59" i="23"/>
  <c r="AC60" i="23" s="1"/>
  <c r="AD60" i="23" s="1"/>
  <c r="AB59" i="23"/>
  <c r="AB60" i="23" s="1"/>
  <c r="AA60" i="23"/>
  <c r="AA34" i="23"/>
  <c r="AC33" i="23"/>
  <c r="AC34" i="23" s="1"/>
  <c r="AB33" i="23"/>
  <c r="AB34" i="23" s="1"/>
  <c r="S48" i="23"/>
  <c r="AB56" i="23"/>
  <c r="AB57" i="23" s="1"/>
  <c r="AA57" i="23"/>
  <c r="AC56" i="23"/>
  <c r="AC57" i="23" s="1"/>
  <c r="AD57" i="23" s="1"/>
  <c r="U48" i="23"/>
  <c r="Z50" i="23"/>
  <c r="AJ48" i="23"/>
  <c r="Z53" i="23"/>
  <c r="AB27" i="23"/>
  <c r="AB28" i="23" s="1"/>
  <c r="AC27" i="23"/>
  <c r="AC28" i="23" s="1"/>
  <c r="AC25" i="23" s="1"/>
  <c r="AA28" i="23"/>
  <c r="AA69" i="23"/>
  <c r="AB68" i="23"/>
  <c r="AB69" i="23" s="1"/>
  <c r="AC68" i="23"/>
  <c r="AC69" i="23" s="1"/>
  <c r="Z63" i="23"/>
  <c r="AA62" i="23"/>
  <c r="Z66" i="23"/>
  <c r="AA65" i="23"/>
  <c r="AD100" i="23"/>
  <c r="Y85" i="23"/>
  <c r="AD85" i="23" s="1"/>
  <c r="AD28" i="23"/>
  <c r="Z73" i="23"/>
  <c r="AJ71" i="23"/>
  <c r="A40" i="24" l="1"/>
  <c r="A41" i="24" s="1"/>
  <c r="A42" i="24" s="1"/>
  <c r="A45" i="24" s="1"/>
  <c r="AD69" i="23"/>
  <c r="AA25" i="23"/>
  <c r="AD25" i="23" s="1"/>
  <c r="AA50" i="23"/>
  <c r="Z51" i="23"/>
  <c r="AA66" i="23"/>
  <c r="AC65" i="23"/>
  <c r="AC66" i="23" s="1"/>
  <c r="AB65" i="23"/>
  <c r="AB66" i="23" s="1"/>
  <c r="AD66" i="23"/>
  <c r="AB25" i="23"/>
  <c r="AD31" i="23"/>
  <c r="AA63" i="23"/>
  <c r="AC62" i="23"/>
  <c r="AC63" i="23" s="1"/>
  <c r="AB62" i="23"/>
  <c r="AB63" i="23" s="1"/>
  <c r="AA53" i="23"/>
  <c r="Z54" i="23"/>
  <c r="Z76" i="23"/>
  <c r="Z77" i="23" s="1"/>
  <c r="AA73" i="23"/>
  <c r="Z74" i="23"/>
  <c r="AD34" i="23"/>
  <c r="AA80" i="23"/>
  <c r="AC79" i="23"/>
  <c r="AA82" i="23"/>
  <c r="AA83" i="23" s="1"/>
  <c r="AB79" i="23"/>
  <c r="AA76" i="23" l="1"/>
  <c r="AA77" i="23" s="1"/>
  <c r="AA74" i="23"/>
  <c r="AC73" i="23"/>
  <c r="AB73" i="23"/>
  <c r="AB82" i="23"/>
  <c r="AB83" i="23" s="1"/>
  <c r="AB80" i="23"/>
  <c r="AB53" i="23"/>
  <c r="AB54" i="23" s="1"/>
  <c r="AC53" i="23"/>
  <c r="AC54" i="23" s="1"/>
  <c r="AA54" i="23"/>
  <c r="AC82" i="23"/>
  <c r="AC83" i="23" s="1"/>
  <c r="AC80" i="23"/>
  <c r="AD63" i="23"/>
  <c r="Z48" i="23"/>
  <c r="Z71" i="23"/>
  <c r="AC50" i="23"/>
  <c r="AC51" i="23" s="1"/>
  <c r="AC48" i="23" s="1"/>
  <c r="AA51" i="23"/>
  <c r="AB50" i="23"/>
  <c r="AB51" i="23" s="1"/>
  <c r="AD51" i="23" l="1"/>
  <c r="AD54" i="23"/>
  <c r="AB74" i="23"/>
  <c r="AB76" i="23"/>
  <c r="AB77" i="23" s="1"/>
  <c r="AB48" i="23"/>
  <c r="AD48" i="23" s="1"/>
  <c r="AD80" i="23"/>
  <c r="AC74" i="23"/>
  <c r="AC71" i="23" s="1"/>
  <c r="AC76" i="23"/>
  <c r="AC77" i="23" s="1"/>
  <c r="AD77" i="23" s="1"/>
  <c r="AA48" i="23"/>
  <c r="AD83" i="23"/>
  <c r="AA71" i="23"/>
  <c r="AB71" i="23" l="1"/>
  <c r="AD71" i="23" s="1"/>
  <c r="AD74" i="23"/>
  <c r="C48" i="33" l="1"/>
  <c r="A20" i="33" l="1"/>
  <c r="A34" i="33" s="1"/>
  <c r="A48" i="33" s="1"/>
  <c r="A62" i="33" s="1"/>
  <c r="C60" i="33"/>
  <c r="C59" i="33"/>
  <c r="C58" i="33"/>
  <c r="C57" i="33"/>
  <c r="C56" i="33"/>
  <c r="C55" i="33"/>
  <c r="C54" i="33"/>
  <c r="C53" i="33"/>
  <c r="C52" i="33"/>
  <c r="C51" i="33"/>
  <c r="C50" i="33"/>
  <c r="C49" i="33"/>
  <c r="B6" i="23"/>
  <c r="A9" i="23"/>
  <c r="A12" i="23" s="1"/>
  <c r="A15" i="23" s="1"/>
  <c r="B15" i="23" s="1"/>
  <c r="A28" i="35" s="1"/>
  <c r="AG111" i="23"/>
  <c r="B48" i="33" l="1"/>
  <c r="B9" i="24"/>
  <c r="A76" i="33"/>
  <c r="A92" i="33" s="1"/>
  <c r="A106" i="33" s="1"/>
  <c r="A120" i="33" s="1"/>
  <c r="B9" i="23"/>
  <c r="B12" i="23"/>
  <c r="A18" i="23"/>
  <c r="A134" i="33" l="1"/>
  <c r="A21" i="23"/>
  <c r="B18" i="23"/>
  <c r="A26" i="35" s="1"/>
  <c r="B62" i="33" l="1"/>
  <c r="B10" i="24"/>
  <c r="A148" i="33"/>
  <c r="A162" i="33" s="1"/>
  <c r="A176" i="33" s="1"/>
  <c r="A192" i="33" s="1"/>
  <c r="A206" i="33" s="1"/>
  <c r="A220" i="33" s="1"/>
  <c r="A26" i="23"/>
  <c r="B21" i="23"/>
  <c r="A234" i="33" l="1"/>
  <c r="A29" i="23"/>
  <c r="B26" i="23"/>
  <c r="A248" i="33" l="1"/>
  <c r="A262" i="33" s="1"/>
  <c r="A276" i="33" s="1"/>
  <c r="A292" i="33" s="1"/>
  <c r="A32" i="23"/>
  <c r="A35" i="23" s="1"/>
  <c r="B29" i="23"/>
  <c r="A306" i="33" l="1"/>
  <c r="A320" i="33" s="1"/>
  <c r="B35" i="23"/>
  <c r="A9" i="35" s="1"/>
  <c r="A38" i="23"/>
  <c r="B38" i="23" s="1"/>
  <c r="A3" i="35" s="1"/>
  <c r="B32" i="23"/>
  <c r="B148" i="33" l="1"/>
  <c r="B18" i="24"/>
  <c r="B134" i="33"/>
  <c r="B17" i="24"/>
  <c r="A334" i="33"/>
  <c r="A350" i="33" s="1"/>
  <c r="A41" i="23"/>
  <c r="A44" i="23" s="1"/>
  <c r="A364" i="33" l="1"/>
  <c r="B41" i="23"/>
  <c r="A49" i="23"/>
  <c r="B44" i="23"/>
  <c r="A378" i="33" l="1"/>
  <c r="A392" i="33" s="1"/>
  <c r="A406" i="33" s="1"/>
  <c r="A422" i="33" s="1"/>
  <c r="A52" i="23"/>
  <c r="B49" i="23"/>
  <c r="A55" i="23" l="1"/>
  <c r="A58" i="23" s="1"/>
  <c r="B52" i="23"/>
  <c r="B58" i="23" l="1"/>
  <c r="A61" i="23"/>
  <c r="B61" i="23" s="1"/>
  <c r="A30" i="35" s="1"/>
  <c r="B55" i="23"/>
  <c r="B26" i="24" l="1"/>
  <c r="A2" i="35"/>
  <c r="B248" i="33"/>
  <c r="B27" i="24"/>
  <c r="B234" i="33"/>
  <c r="A64" i="23"/>
  <c r="B64" i="23" s="1"/>
  <c r="A67" i="23" l="1"/>
  <c r="B67" i="23" s="1"/>
  <c r="A72" i="23" l="1"/>
  <c r="A75" i="23" s="1"/>
  <c r="B75" i="23" s="1"/>
  <c r="A8" i="35" s="1"/>
  <c r="B306" i="33" l="1"/>
  <c r="B33" i="24"/>
  <c r="A78" i="23"/>
  <c r="B78" i="23" s="1"/>
  <c r="A17" i="35" s="1"/>
  <c r="B72" i="23"/>
  <c r="B320" i="33" l="1"/>
  <c r="B34" i="24"/>
  <c r="A81" i="23"/>
  <c r="B81" i="23" l="1"/>
  <c r="A86" i="23"/>
  <c r="A89" i="23" s="1"/>
  <c r="A92" i="23" l="1"/>
  <c r="B92" i="23" s="1"/>
  <c r="A13" i="35" s="1"/>
  <c r="B89" i="23"/>
  <c r="A10" i="35" s="1"/>
  <c r="B86" i="23"/>
  <c r="B378" i="33" l="1"/>
  <c r="B40" i="24"/>
  <c r="B364" i="33"/>
  <c r="B39" i="24"/>
  <c r="A95" i="23"/>
  <c r="B95" i="23" s="1"/>
  <c r="A98" i="23" l="1"/>
  <c r="B98" i="23" s="1"/>
  <c r="A103" i="23" l="1"/>
  <c r="B103" i="23" s="1"/>
  <c r="AH87" i="19" l="1"/>
  <c r="AC87" i="19"/>
  <c r="AD87" i="19"/>
  <c r="AG87" i="19" s="1"/>
  <c r="AL87" i="19"/>
  <c r="AM87" i="19" s="1"/>
  <c r="AO87" i="19"/>
  <c r="AS87" i="19"/>
  <c r="AT87" i="19" s="1"/>
  <c r="AV87" i="19"/>
  <c r="K1" i="9"/>
  <c r="AS85" i="19"/>
  <c r="AT85" i="19" s="1"/>
  <c r="AS86" i="19"/>
  <c r="AL85" i="19"/>
  <c r="AM85" i="19" s="1"/>
  <c r="AL86" i="19"/>
  <c r="AM86" i="19" s="1"/>
  <c r="AO78" i="19"/>
  <c r="AO77" i="19"/>
  <c r="AO76" i="19"/>
  <c r="AO75" i="19"/>
  <c r="AO74" i="19"/>
  <c r="AO68" i="19"/>
  <c r="AO69" i="19"/>
  <c r="AO70" i="19"/>
  <c r="AO71" i="19"/>
  <c r="AO72" i="19"/>
  <c r="G1" i="9"/>
  <c r="AH89" i="19"/>
  <c r="AH5" i="19"/>
  <c r="BC56" i="19"/>
  <c r="BC57" i="19"/>
  <c r="BC58" i="19"/>
  <c r="BC59" i="19"/>
  <c r="AO86" i="19"/>
  <c r="AV86" i="19"/>
  <c r="AO85" i="19"/>
  <c r="AV85" i="19"/>
  <c r="AH86" i="19"/>
  <c r="AH85" i="19"/>
  <c r="AD85" i="19"/>
  <c r="AG85" i="19" s="1"/>
  <c r="AD86" i="19"/>
  <c r="AG86" i="19" s="1"/>
  <c r="AP86" i="19" s="1"/>
  <c r="AC85" i="19"/>
  <c r="AC86" i="19"/>
  <c r="AH84" i="19"/>
  <c r="AH83" i="19"/>
  <c r="AH82" i="19"/>
  <c r="AH81" i="19"/>
  <c r="AH80" i="19"/>
  <c r="AH78" i="19"/>
  <c r="AH77" i="19"/>
  <c r="AH76" i="19"/>
  <c r="AH75" i="19"/>
  <c r="AH74" i="19"/>
  <c r="AH72" i="19"/>
  <c r="AH71" i="19"/>
  <c r="AH70" i="19"/>
  <c r="AH69" i="19"/>
  <c r="AH68" i="19"/>
  <c r="AH67" i="19"/>
  <c r="AH65" i="19"/>
  <c r="AH64" i="19"/>
  <c r="AH63" i="19"/>
  <c r="AH62" i="19"/>
  <c r="AH61" i="19"/>
  <c r="AH38" i="19"/>
  <c r="AH37" i="19"/>
  <c r="AH36" i="19"/>
  <c r="AH35" i="19"/>
  <c r="AH34" i="19"/>
  <c r="AH33" i="19"/>
  <c r="AH31" i="19"/>
  <c r="AH30" i="19"/>
  <c r="AH29" i="19"/>
  <c r="AH28" i="19"/>
  <c r="AH27" i="19"/>
  <c r="AH26" i="19"/>
  <c r="AH24" i="19"/>
  <c r="AH23" i="19"/>
  <c r="AH22" i="19"/>
  <c r="AH21" i="19"/>
  <c r="AH20" i="19"/>
  <c r="AH19" i="19"/>
  <c r="AH17" i="19"/>
  <c r="AH16" i="19"/>
  <c r="AH15" i="19"/>
  <c r="AH14" i="19"/>
  <c r="AH13" i="19"/>
  <c r="AH12" i="19"/>
  <c r="BE88" i="19"/>
  <c r="AS59" i="19"/>
  <c r="AT59" i="19" s="1"/>
  <c r="AL59" i="19"/>
  <c r="AM59" i="19" s="1"/>
  <c r="AH59" i="19"/>
  <c r="AD59" i="19"/>
  <c r="AC59" i="19"/>
  <c r="AS58" i="19"/>
  <c r="AL58" i="19"/>
  <c r="AM58" i="19" s="1"/>
  <c r="AH58" i="19"/>
  <c r="AD58" i="19"/>
  <c r="AC58" i="19"/>
  <c r="AS57" i="19"/>
  <c r="AT57" i="19" s="1"/>
  <c r="AL57" i="19"/>
  <c r="AH57" i="19"/>
  <c r="AD57" i="19"/>
  <c r="AC57" i="19"/>
  <c r="AS56" i="19"/>
  <c r="AL56" i="19"/>
  <c r="AM56" i="19" s="1"/>
  <c r="AH56" i="19"/>
  <c r="AD56" i="19"/>
  <c r="AC56" i="19"/>
  <c r="AS55" i="19"/>
  <c r="AT55" i="19" s="1"/>
  <c r="AL55" i="19"/>
  <c r="AM55" i="19" s="1"/>
  <c r="AH55" i="19"/>
  <c r="AD55" i="19"/>
  <c r="AC55" i="19"/>
  <c r="AS54" i="19"/>
  <c r="AT54" i="19" s="1"/>
  <c r="AL54" i="19"/>
  <c r="AM54" i="19" s="1"/>
  <c r="AH54" i="19"/>
  <c r="AD54" i="19"/>
  <c r="AC54" i="19"/>
  <c r="AS52" i="19"/>
  <c r="AT52" i="19" s="1"/>
  <c r="AL52" i="19"/>
  <c r="AM52" i="19" s="1"/>
  <c r="AH52" i="19"/>
  <c r="AD52" i="19"/>
  <c r="AC52" i="19"/>
  <c r="AS51" i="19"/>
  <c r="AL51" i="19"/>
  <c r="AM51" i="19" s="1"/>
  <c r="AH51" i="19"/>
  <c r="AD51" i="19"/>
  <c r="AC51" i="19"/>
  <c r="AS50" i="19"/>
  <c r="AT50" i="19" s="1"/>
  <c r="AL50" i="19"/>
  <c r="AH50" i="19"/>
  <c r="AD50" i="19"/>
  <c r="AC50" i="19"/>
  <c r="AS49" i="19"/>
  <c r="AL49" i="19"/>
  <c r="AH49" i="19"/>
  <c r="AD49" i="19"/>
  <c r="AC49" i="19"/>
  <c r="AS48" i="19"/>
  <c r="AT48" i="19" s="1"/>
  <c r="AL48" i="19"/>
  <c r="AH48" i="19"/>
  <c r="AD48" i="19"/>
  <c r="AC48" i="19"/>
  <c r="AS47" i="19"/>
  <c r="AL47" i="19"/>
  <c r="AM47" i="19" s="1"/>
  <c r="AH47" i="19"/>
  <c r="AD47" i="19"/>
  <c r="AC47" i="19"/>
  <c r="AS45" i="19"/>
  <c r="AT45" i="19" s="1"/>
  <c r="AL45" i="19"/>
  <c r="AH45" i="19"/>
  <c r="AD45" i="19"/>
  <c r="AC45" i="19"/>
  <c r="AS44" i="19"/>
  <c r="AL44" i="19"/>
  <c r="AM44" i="19" s="1"/>
  <c r="AH44" i="19"/>
  <c r="AD44" i="19"/>
  <c r="AC44" i="19"/>
  <c r="AS43" i="19"/>
  <c r="AT43" i="19" s="1"/>
  <c r="AL43" i="19"/>
  <c r="AM43" i="19" s="1"/>
  <c r="AH43" i="19"/>
  <c r="AD43" i="19"/>
  <c r="AC43" i="19"/>
  <c r="AS42" i="19"/>
  <c r="AT42" i="19" s="1"/>
  <c r="AL42" i="19"/>
  <c r="AM42" i="19" s="1"/>
  <c r="AH42" i="19"/>
  <c r="AD42" i="19"/>
  <c r="AC42" i="19"/>
  <c r="AS41" i="19"/>
  <c r="AT41" i="19" s="1"/>
  <c r="AL41" i="19"/>
  <c r="AH41" i="19"/>
  <c r="AD41" i="19"/>
  <c r="AC41" i="19"/>
  <c r="AS40" i="19"/>
  <c r="AL40" i="19"/>
  <c r="AM40" i="19" s="1"/>
  <c r="AH40" i="19"/>
  <c r="AD40" i="19"/>
  <c r="AC40" i="19"/>
  <c r="AD31" i="19"/>
  <c r="AC31" i="19"/>
  <c r="AD30" i="19"/>
  <c r="AC30" i="19"/>
  <c r="AD29" i="19"/>
  <c r="AC29" i="19"/>
  <c r="AD28" i="19"/>
  <c r="AC28" i="19"/>
  <c r="AD27" i="19"/>
  <c r="AC27" i="19"/>
  <c r="AD26" i="19"/>
  <c r="AC26" i="19"/>
  <c r="AQ86" i="19" l="1"/>
  <c r="AJ87" i="19"/>
  <c r="AQ87" i="19"/>
  <c r="AW86" i="19"/>
  <c r="AX85" i="19"/>
  <c r="AX87" i="19"/>
  <c r="G47" i="9" s="1"/>
  <c r="AI87" i="19"/>
  <c r="AW87" i="19"/>
  <c r="AP87" i="19"/>
  <c r="AQ85" i="19"/>
  <c r="AP85" i="19"/>
  <c r="AT86" i="19"/>
  <c r="AX86" i="19" s="1"/>
  <c r="AW85" i="19"/>
  <c r="AI86" i="19"/>
  <c r="AI85" i="19"/>
  <c r="AJ86" i="19"/>
  <c r="AJ85" i="19"/>
  <c r="AM48" i="19"/>
  <c r="AT51" i="19"/>
  <c r="AT58" i="19"/>
  <c r="AT47" i="19"/>
  <c r="AM49" i="19"/>
  <c r="AT56" i="19"/>
  <c r="AM57" i="19"/>
  <c r="AT49" i="19"/>
  <c r="AM50" i="19"/>
  <c r="AT40" i="19"/>
  <c r="AM41" i="19"/>
  <c r="AT44" i="19"/>
  <c r="AM45" i="19"/>
  <c r="AH10" i="19" l="1"/>
  <c r="AH9" i="19"/>
  <c r="AH8" i="19"/>
  <c r="AH7" i="19"/>
  <c r="AH6" i="19"/>
  <c r="AS38" i="19"/>
  <c r="AT38" i="19" s="1"/>
  <c r="AL38" i="19"/>
  <c r="AM38" i="19" s="1"/>
  <c r="AD38" i="19"/>
  <c r="AC38" i="19"/>
  <c r="AS37" i="19"/>
  <c r="AT37" i="19" s="1"/>
  <c r="AL37" i="19"/>
  <c r="AM37" i="19" s="1"/>
  <c r="AD37" i="19"/>
  <c r="AC37" i="19"/>
  <c r="AS36" i="19"/>
  <c r="AL36" i="19"/>
  <c r="AM36" i="19" s="1"/>
  <c r="AD36" i="19"/>
  <c r="AC36" i="19"/>
  <c r="AS35" i="19"/>
  <c r="AT35" i="19" s="1"/>
  <c r="AL35" i="19"/>
  <c r="AD35" i="19"/>
  <c r="AC35" i="19"/>
  <c r="AS34" i="19"/>
  <c r="AT34" i="19" s="1"/>
  <c r="AL34" i="19"/>
  <c r="AM34" i="19" s="1"/>
  <c r="AD34" i="19"/>
  <c r="AC34" i="19"/>
  <c r="AS33" i="19"/>
  <c r="AT33" i="19" s="1"/>
  <c r="AL33" i="19"/>
  <c r="AD33" i="19"/>
  <c r="AC33" i="19"/>
  <c r="AS31" i="19"/>
  <c r="AT31" i="19" s="1"/>
  <c r="AL31" i="19"/>
  <c r="AM31" i="19" s="1"/>
  <c r="AS30" i="19"/>
  <c r="AT30" i="19" s="1"/>
  <c r="AL30" i="19"/>
  <c r="AM30" i="19" s="1"/>
  <c r="AS29" i="19"/>
  <c r="AL29" i="19"/>
  <c r="AS28" i="19"/>
  <c r="AT28" i="19" s="1"/>
  <c r="AL28" i="19"/>
  <c r="AS27" i="19"/>
  <c r="AT27" i="19" s="1"/>
  <c r="AL27" i="19"/>
  <c r="AM27" i="19" s="1"/>
  <c r="AS26" i="19"/>
  <c r="AT26" i="19" s="1"/>
  <c r="AL26" i="19"/>
  <c r="AS24" i="19"/>
  <c r="AT24" i="19" s="1"/>
  <c r="AL24" i="19"/>
  <c r="AM24" i="19" s="1"/>
  <c r="AD24" i="19"/>
  <c r="AC24" i="19"/>
  <c r="AS23" i="19"/>
  <c r="AT23" i="19" s="1"/>
  <c r="AL23" i="19"/>
  <c r="AM23" i="19" s="1"/>
  <c r="AD23" i="19"/>
  <c r="AC23" i="19"/>
  <c r="AS22" i="19"/>
  <c r="AT22" i="19" s="1"/>
  <c r="AL22" i="19"/>
  <c r="AM22" i="19" s="1"/>
  <c r="AD22" i="19"/>
  <c r="AC22" i="19"/>
  <c r="AS21" i="19"/>
  <c r="AT21" i="19" s="1"/>
  <c r="AL21" i="19"/>
  <c r="AM21" i="19" s="1"/>
  <c r="AD21" i="19"/>
  <c r="AC21" i="19"/>
  <c r="AS20" i="19"/>
  <c r="AT20" i="19" s="1"/>
  <c r="AL20" i="19"/>
  <c r="AM20" i="19" s="1"/>
  <c r="AD20" i="19"/>
  <c r="AC20" i="19"/>
  <c r="AS19" i="19"/>
  <c r="AT19" i="19" s="1"/>
  <c r="AL19" i="19"/>
  <c r="AM19" i="19" s="1"/>
  <c r="AD19" i="19"/>
  <c r="AC19" i="19"/>
  <c r="AS17" i="19"/>
  <c r="AT17" i="19" s="1"/>
  <c r="AL17" i="19"/>
  <c r="AM17" i="19" s="1"/>
  <c r="AD17" i="19"/>
  <c r="AC17" i="19"/>
  <c r="AS16" i="19"/>
  <c r="AT16" i="19" s="1"/>
  <c r="AL16" i="19"/>
  <c r="AM16" i="19" s="1"/>
  <c r="AD16" i="19"/>
  <c r="AC16" i="19"/>
  <c r="AS15" i="19"/>
  <c r="AL15" i="19"/>
  <c r="AM15" i="19" s="1"/>
  <c r="AD15" i="19"/>
  <c r="AC15" i="19"/>
  <c r="AS14" i="19"/>
  <c r="AT14" i="19" s="1"/>
  <c r="AL14" i="19"/>
  <c r="AD14" i="19"/>
  <c r="AC14" i="19"/>
  <c r="AS13" i="19"/>
  <c r="AT13" i="19" s="1"/>
  <c r="AL13" i="19"/>
  <c r="AM13" i="19" s="1"/>
  <c r="AD13" i="19"/>
  <c r="AC13" i="19"/>
  <c r="AS12" i="19"/>
  <c r="AT12" i="19" s="1"/>
  <c r="AL12" i="19"/>
  <c r="AD12" i="19"/>
  <c r="AC12" i="19"/>
  <c r="AM29" i="19" l="1"/>
  <c r="AM26" i="19"/>
  <c r="AM28" i="19"/>
  <c r="AT29" i="19"/>
  <c r="AM33" i="19"/>
  <c r="AM35" i="19"/>
  <c r="AT36" i="19"/>
  <c r="AM12" i="19"/>
  <c r="AM14" i="19"/>
  <c r="AT15" i="19"/>
  <c r="AO119" i="38" l="1"/>
  <c r="AN119" i="38"/>
  <c r="AM119" i="38"/>
  <c r="AJ119" i="38"/>
  <c r="AF119" i="38"/>
  <c r="AE119" i="38"/>
  <c r="AD119" i="38"/>
  <c r="AD120" i="38" s="1"/>
  <c r="AP118" i="38"/>
  <c r="AH118" i="38"/>
  <c r="AG118" i="38"/>
  <c r="AH116" i="38"/>
  <c r="AG116" i="38"/>
  <c r="AI116" i="38" s="1"/>
  <c r="AP88" i="38"/>
  <c r="AH88" i="38"/>
  <c r="AG88" i="38"/>
  <c r="AP87" i="38"/>
  <c r="AH87" i="38"/>
  <c r="AG87" i="38"/>
  <c r="AP76" i="38"/>
  <c r="AH76" i="38"/>
  <c r="AI76" i="38" s="1"/>
  <c r="AG76" i="38"/>
  <c r="AP73" i="38"/>
  <c r="AH73" i="38"/>
  <c r="AG73" i="38"/>
  <c r="AC8" i="38"/>
  <c r="AC7" i="38"/>
  <c r="AP6" i="38"/>
  <c r="AH6" i="38"/>
  <c r="AC6" i="38"/>
  <c r="AG6" i="38" s="1"/>
  <c r="AO119" i="37"/>
  <c r="AN119" i="37"/>
  <c r="AM119" i="37"/>
  <c r="AJ119" i="37"/>
  <c r="AF119" i="37"/>
  <c r="AE119" i="37"/>
  <c r="AD119" i="37"/>
  <c r="AD120" i="37" s="1"/>
  <c r="AC119" i="37"/>
  <c r="AP118" i="37"/>
  <c r="AH118" i="37"/>
  <c r="AG118" i="37"/>
  <c r="AH116" i="37"/>
  <c r="AG116" i="37"/>
  <c r="AI116" i="37" s="1"/>
  <c r="AP88" i="37"/>
  <c r="AH88" i="37"/>
  <c r="AG88" i="37"/>
  <c r="AP87" i="37"/>
  <c r="AH87" i="37"/>
  <c r="AG87" i="37"/>
  <c r="AP76" i="37"/>
  <c r="AH76" i="37"/>
  <c r="AG76" i="37"/>
  <c r="AP73" i="37"/>
  <c r="AH73" i="37"/>
  <c r="AG73" i="37"/>
  <c r="AP6" i="37"/>
  <c r="AH6" i="37"/>
  <c r="AI6" i="37" s="1"/>
  <c r="AG6" i="37"/>
  <c r="AO119" i="36"/>
  <c r="AN119" i="36"/>
  <c r="AM119" i="36"/>
  <c r="AJ119" i="36"/>
  <c r="AF119" i="36"/>
  <c r="AE119" i="36"/>
  <c r="AD119" i="36"/>
  <c r="AD120" i="36" s="1"/>
  <c r="AC119" i="36"/>
  <c r="AP118" i="36"/>
  <c r="AH118" i="36"/>
  <c r="AG118" i="36"/>
  <c r="AI118" i="36" s="1"/>
  <c r="AH116" i="36"/>
  <c r="AG116" i="36"/>
  <c r="AP88" i="36"/>
  <c r="AH88" i="36"/>
  <c r="AI88" i="36" s="1"/>
  <c r="AG88" i="36"/>
  <c r="AP87" i="36"/>
  <c r="AH87" i="36"/>
  <c r="AG87" i="36"/>
  <c r="AP76" i="36"/>
  <c r="AH76" i="36"/>
  <c r="AG76" i="36"/>
  <c r="AP73" i="36"/>
  <c r="AH73" i="36"/>
  <c r="AG73" i="36"/>
  <c r="AP6" i="36"/>
  <c r="AH6" i="36"/>
  <c r="AI6" i="36" s="1"/>
  <c r="AG6" i="36"/>
  <c r="AG119" i="37" l="1"/>
  <c r="AI87" i="36"/>
  <c r="AH119" i="37"/>
  <c r="B124" i="26"/>
  <c r="AP119" i="36"/>
  <c r="AP119" i="37"/>
  <c r="AI87" i="37"/>
  <c r="AP119" i="38"/>
  <c r="AI76" i="36"/>
  <c r="AI76" i="37"/>
  <c r="AI73" i="36"/>
  <c r="AI119" i="36" s="1"/>
  <c r="AI116" i="36"/>
  <c r="AI73" i="37"/>
  <c r="AI88" i="37"/>
  <c r="AC119" i="38"/>
  <c r="AI118" i="38"/>
  <c r="AH119" i="38"/>
  <c r="AG119" i="38"/>
  <c r="AI88" i="38"/>
  <c r="AI73" i="38"/>
  <c r="AI87" i="38"/>
  <c r="AI6" i="38"/>
  <c r="AI119" i="37"/>
  <c r="AI118" i="37"/>
  <c r="AG119" i="36"/>
  <c r="AH119" i="36"/>
  <c r="AI119" i="38" l="1"/>
  <c r="BE67" i="19"/>
  <c r="BE68" i="19" s="1"/>
  <c r="BC60" i="19"/>
  <c r="BC61" i="19"/>
  <c r="BC62" i="19"/>
  <c r="BC63" i="19"/>
  <c r="BC64" i="19"/>
  <c r="BC65" i="19"/>
  <c r="E36" i="17" l="1"/>
  <c r="A31" i="35" l="1"/>
  <c r="A29" i="35"/>
  <c r="A27" i="35"/>
  <c r="A25" i="35"/>
  <c r="A21" i="35"/>
  <c r="A24" i="35"/>
  <c r="A23" i="35"/>
  <c r="A18" i="35"/>
  <c r="A20" i="35"/>
  <c r="A22" i="35"/>
  <c r="A16" i="35"/>
  <c r="A19" i="35"/>
  <c r="A11" i="35"/>
  <c r="A12" i="35"/>
  <c r="A7" i="35"/>
  <c r="A5" i="35"/>
  <c r="A15" i="35"/>
  <c r="A6" i="35"/>
  <c r="A4" i="35"/>
  <c r="A14" i="35"/>
  <c r="R33" i="33" l="1"/>
  <c r="V423" i="33"/>
  <c r="V424" i="33"/>
  <c r="V425" i="33"/>
  <c r="V426" i="33"/>
  <c r="V427" i="33"/>
  <c r="V428" i="33"/>
  <c r="V429" i="33"/>
  <c r="V430" i="33"/>
  <c r="V431" i="33"/>
  <c r="V432" i="33"/>
  <c r="V433" i="33"/>
  <c r="V434" i="33"/>
  <c r="V435" i="33"/>
  <c r="V351" i="33"/>
  <c r="V365" i="33" s="1"/>
  <c r="V379" i="33" s="1"/>
  <c r="V352" i="33"/>
  <c r="V366" i="33" s="1"/>
  <c r="V380" i="33" s="1"/>
  <c r="V353" i="33"/>
  <c r="V367" i="33" s="1"/>
  <c r="V381" i="33" s="1"/>
  <c r="V354" i="33"/>
  <c r="V368" i="33" s="1"/>
  <c r="V382" i="33" s="1"/>
  <c r="V355" i="33"/>
  <c r="V369" i="33" s="1"/>
  <c r="V383" i="33" s="1"/>
  <c r="V356" i="33"/>
  <c r="V370" i="33" s="1"/>
  <c r="V384" i="33" s="1"/>
  <c r="V357" i="33"/>
  <c r="V371" i="33" s="1"/>
  <c r="V385" i="33" s="1"/>
  <c r="V358" i="33"/>
  <c r="V372" i="33" s="1"/>
  <c r="V386" i="33" s="1"/>
  <c r="V359" i="33"/>
  <c r="V373" i="33" s="1"/>
  <c r="V387" i="33" s="1"/>
  <c r="V360" i="33"/>
  <c r="V374" i="33" s="1"/>
  <c r="V388" i="33" s="1"/>
  <c r="V361" i="33"/>
  <c r="V375" i="33" s="1"/>
  <c r="V389" i="33" s="1"/>
  <c r="V362" i="33"/>
  <c r="V376" i="33" s="1"/>
  <c r="V390" i="33" s="1"/>
  <c r="V363" i="33"/>
  <c r="V377" i="33" s="1"/>
  <c r="V293" i="33"/>
  <c r="V307" i="33" s="1"/>
  <c r="V321" i="33" s="1"/>
  <c r="V294" i="33"/>
  <c r="V308" i="33" s="1"/>
  <c r="V322" i="33" s="1"/>
  <c r="V295" i="33"/>
  <c r="V309" i="33" s="1"/>
  <c r="V323" i="33" s="1"/>
  <c r="V296" i="33"/>
  <c r="V310" i="33" s="1"/>
  <c r="V324" i="33" s="1"/>
  <c r="V297" i="33"/>
  <c r="V311" i="33" s="1"/>
  <c r="V325" i="33" s="1"/>
  <c r="V298" i="33"/>
  <c r="V312" i="33" s="1"/>
  <c r="V326" i="33" s="1"/>
  <c r="V299" i="33"/>
  <c r="V313" i="33" s="1"/>
  <c r="V327" i="33" s="1"/>
  <c r="V300" i="33"/>
  <c r="V314" i="33" s="1"/>
  <c r="V328" i="33" s="1"/>
  <c r="V301" i="33"/>
  <c r="V315" i="33" s="1"/>
  <c r="V329" i="33" s="1"/>
  <c r="V302" i="33"/>
  <c r="V316" i="33" s="1"/>
  <c r="V330" i="33" s="1"/>
  <c r="V303" i="33"/>
  <c r="V317" i="33" s="1"/>
  <c r="V331" i="33" s="1"/>
  <c r="V304" i="33"/>
  <c r="V318" i="33" s="1"/>
  <c r="V332" i="33" s="1"/>
  <c r="V305" i="33"/>
  <c r="V319" i="33" s="1"/>
  <c r="V333" i="33" s="1"/>
  <c r="V320" i="33" s="1"/>
  <c r="V34" i="24" s="1"/>
  <c r="V193" i="33"/>
  <c r="V194" i="33"/>
  <c r="V195" i="33"/>
  <c r="V196" i="33"/>
  <c r="V197" i="33"/>
  <c r="V198" i="33"/>
  <c r="V199" i="33"/>
  <c r="V200" i="33"/>
  <c r="V201" i="33"/>
  <c r="V202" i="33"/>
  <c r="V203" i="33"/>
  <c r="V204" i="33"/>
  <c r="V205" i="33"/>
  <c r="V93" i="33"/>
  <c r="V94" i="33"/>
  <c r="V95" i="33"/>
  <c r="V96" i="33"/>
  <c r="V97" i="33"/>
  <c r="V98" i="33"/>
  <c r="V99" i="33"/>
  <c r="V100" i="33"/>
  <c r="V101" i="33"/>
  <c r="V102" i="33"/>
  <c r="V103" i="33"/>
  <c r="V104" i="33"/>
  <c r="V105" i="33"/>
  <c r="V119" i="33" s="1"/>
  <c r="P193" i="33"/>
  <c r="P194" i="33"/>
  <c r="P195" i="33"/>
  <c r="P196" i="33"/>
  <c r="P197" i="33"/>
  <c r="P198" i="33"/>
  <c r="P199" i="33"/>
  <c r="P200" i="33"/>
  <c r="P201" i="33"/>
  <c r="P202" i="33"/>
  <c r="P203" i="33"/>
  <c r="P204" i="33"/>
  <c r="P205" i="33"/>
  <c r="R93" i="33"/>
  <c r="R94" i="33"/>
  <c r="R95" i="33"/>
  <c r="R96" i="33"/>
  <c r="R97" i="33"/>
  <c r="R98" i="33"/>
  <c r="R99" i="33"/>
  <c r="R100" i="33"/>
  <c r="R101" i="33"/>
  <c r="R102" i="33"/>
  <c r="R103" i="33"/>
  <c r="R104" i="33"/>
  <c r="R105" i="33"/>
  <c r="R119" i="33" s="1"/>
  <c r="P93" i="33"/>
  <c r="P94" i="33"/>
  <c r="P95" i="33"/>
  <c r="P96" i="33"/>
  <c r="P97" i="33"/>
  <c r="P98" i="33"/>
  <c r="P99" i="33"/>
  <c r="P100" i="33"/>
  <c r="P101" i="33"/>
  <c r="P102" i="33"/>
  <c r="P103" i="33"/>
  <c r="P104" i="33"/>
  <c r="P105" i="33"/>
  <c r="P119" i="33" s="1"/>
  <c r="P147" i="33" s="1"/>
  <c r="P134" i="33" s="1"/>
  <c r="P17" i="24" s="1"/>
  <c r="V21" i="33"/>
  <c r="V22" i="33"/>
  <c r="V23" i="33"/>
  <c r="V24" i="33"/>
  <c r="V25" i="33"/>
  <c r="V26" i="33"/>
  <c r="V27" i="33"/>
  <c r="V28" i="33"/>
  <c r="V29" i="33"/>
  <c r="V30" i="33"/>
  <c r="V31" i="33"/>
  <c r="V32" i="33"/>
  <c r="V33" i="33"/>
  <c r="P21" i="33"/>
  <c r="P63" i="33" s="1"/>
  <c r="P22" i="33"/>
  <c r="P64" i="33" s="1"/>
  <c r="P23" i="33"/>
  <c r="P65" i="33" s="1"/>
  <c r="P24" i="33"/>
  <c r="P66" i="33" s="1"/>
  <c r="P25" i="33"/>
  <c r="P67" i="33" s="1"/>
  <c r="P26" i="33"/>
  <c r="P68" i="33" s="1"/>
  <c r="P27" i="33"/>
  <c r="P69" i="33" s="1"/>
  <c r="P28" i="33"/>
  <c r="P70" i="33" s="1"/>
  <c r="P29" i="33"/>
  <c r="P71" i="33" s="1"/>
  <c r="P30" i="33"/>
  <c r="P72" i="33" s="1"/>
  <c r="P31" i="33"/>
  <c r="P73" i="33" s="1"/>
  <c r="P32" i="33"/>
  <c r="P74" i="33" s="1"/>
  <c r="P33" i="33"/>
  <c r="P75" i="33" s="1"/>
  <c r="P62" i="33" s="1"/>
  <c r="P10" i="24" s="1"/>
  <c r="V364" i="33" l="1"/>
  <c r="V39" i="24" s="1"/>
  <c r="V391" i="33"/>
  <c r="V378" i="33" s="1"/>
  <c r="V40" i="24" s="1"/>
  <c r="R75" i="33"/>
  <c r="R62" i="33" s="1"/>
  <c r="R10" i="24" s="1"/>
  <c r="T147" i="33"/>
  <c r="T134" i="33" s="1"/>
  <c r="T17" i="24" s="1"/>
  <c r="Z147" i="33"/>
  <c r="Z134" i="33" s="1"/>
  <c r="Z17" i="24" s="1"/>
  <c r="AA119" i="33"/>
  <c r="V147" i="33"/>
  <c r="V306" i="33"/>
  <c r="V33" i="24" s="1"/>
  <c r="V69" i="33"/>
  <c r="V68" i="33"/>
  <c r="V75" i="33"/>
  <c r="V62" i="33" s="1"/>
  <c r="V10" i="24" s="1"/>
  <c r="V67" i="33"/>
  <c r="V74" i="33"/>
  <c r="V73" i="33"/>
  <c r="V65" i="33"/>
  <c r="V72" i="33"/>
  <c r="V64" i="33"/>
  <c r="V66" i="33"/>
  <c r="V71" i="33"/>
  <c r="V63" i="33"/>
  <c r="V70" i="33"/>
  <c r="AC119" i="33"/>
  <c r="Y119" i="33"/>
  <c r="Z119" i="33"/>
  <c r="S119" i="33"/>
  <c r="T119" i="33"/>
  <c r="AE2" i="24"/>
  <c r="AF2" i="24"/>
  <c r="AG2" i="24"/>
  <c r="AH2" i="24"/>
  <c r="C45" i="24"/>
  <c r="B45" i="24"/>
  <c r="C44" i="24"/>
  <c r="B44" i="24"/>
  <c r="C37" i="24"/>
  <c r="B37" i="24"/>
  <c r="C31" i="24"/>
  <c r="B31" i="24"/>
  <c r="C22" i="24"/>
  <c r="B22" i="24"/>
  <c r="E407" i="33"/>
  <c r="E408" i="33"/>
  <c r="E409" i="33"/>
  <c r="E410" i="33"/>
  <c r="E411" i="33"/>
  <c r="E412" i="33"/>
  <c r="E413" i="33"/>
  <c r="E414" i="33"/>
  <c r="E415" i="33"/>
  <c r="E416" i="33"/>
  <c r="E417" i="33"/>
  <c r="E418" i="33"/>
  <c r="E419" i="33"/>
  <c r="E393" i="33"/>
  <c r="E394" i="33"/>
  <c r="E395" i="33"/>
  <c r="E396" i="33"/>
  <c r="E397" i="33"/>
  <c r="E398" i="33"/>
  <c r="E399" i="33"/>
  <c r="E400" i="33"/>
  <c r="E401" i="33"/>
  <c r="E402" i="33"/>
  <c r="E403" i="33"/>
  <c r="E404" i="33"/>
  <c r="E405" i="33"/>
  <c r="R423" i="33"/>
  <c r="R424" i="33"/>
  <c r="R425" i="33"/>
  <c r="R426" i="33"/>
  <c r="R427" i="33"/>
  <c r="R428" i="33"/>
  <c r="R429" i="33"/>
  <c r="R430" i="33"/>
  <c r="R431" i="33"/>
  <c r="R432" i="33"/>
  <c r="R433" i="33"/>
  <c r="R434" i="33"/>
  <c r="R435" i="33"/>
  <c r="M422" i="33"/>
  <c r="M45" i="24" s="1"/>
  <c r="B421" i="33"/>
  <c r="C421" i="33"/>
  <c r="B422" i="33"/>
  <c r="C422" i="33"/>
  <c r="AA435" i="33"/>
  <c r="F435" i="33"/>
  <c r="AA434" i="33"/>
  <c r="F434" i="33"/>
  <c r="C434" i="33"/>
  <c r="AA433" i="33"/>
  <c r="F433" i="33"/>
  <c r="C433" i="33"/>
  <c r="AA432" i="33"/>
  <c r="F432" i="33"/>
  <c r="C432" i="33"/>
  <c r="AA431" i="33"/>
  <c r="F431" i="33"/>
  <c r="C431" i="33"/>
  <c r="AA430" i="33"/>
  <c r="F430" i="33"/>
  <c r="C430" i="33"/>
  <c r="AA429" i="33"/>
  <c r="F429" i="33"/>
  <c r="C429" i="33"/>
  <c r="AA428" i="33"/>
  <c r="F428" i="33"/>
  <c r="C428" i="33"/>
  <c r="AA427" i="33"/>
  <c r="F427" i="33"/>
  <c r="C427" i="33"/>
  <c r="AA426" i="33"/>
  <c r="F426" i="33"/>
  <c r="C426" i="33"/>
  <c r="AA425" i="33"/>
  <c r="F425" i="33"/>
  <c r="C425" i="33"/>
  <c r="AA424" i="33"/>
  <c r="F424" i="33"/>
  <c r="C424" i="33"/>
  <c r="AA423" i="33"/>
  <c r="F423" i="33"/>
  <c r="C423" i="33"/>
  <c r="D422" i="33"/>
  <c r="D45" i="24" s="1"/>
  <c r="R351" i="33"/>
  <c r="R365" i="33" s="1"/>
  <c r="R379" i="33" s="1"/>
  <c r="R352" i="33"/>
  <c r="R366" i="33" s="1"/>
  <c r="R380" i="33" s="1"/>
  <c r="R353" i="33"/>
  <c r="R367" i="33" s="1"/>
  <c r="R381" i="33" s="1"/>
  <c r="R354" i="33"/>
  <c r="R368" i="33" s="1"/>
  <c r="R382" i="33" s="1"/>
  <c r="R355" i="33"/>
  <c r="R369" i="33" s="1"/>
  <c r="R383" i="33" s="1"/>
  <c r="R356" i="33"/>
  <c r="R370" i="33" s="1"/>
  <c r="R384" i="33" s="1"/>
  <c r="R357" i="33"/>
  <c r="R371" i="33" s="1"/>
  <c r="R385" i="33" s="1"/>
  <c r="R358" i="33"/>
  <c r="R372" i="33" s="1"/>
  <c r="R386" i="33" s="1"/>
  <c r="R359" i="33"/>
  <c r="R373" i="33" s="1"/>
  <c r="R387" i="33" s="1"/>
  <c r="R360" i="33"/>
  <c r="R374" i="33" s="1"/>
  <c r="R388" i="33" s="1"/>
  <c r="R361" i="33"/>
  <c r="R375" i="33" s="1"/>
  <c r="R389" i="33" s="1"/>
  <c r="R362" i="33"/>
  <c r="R376" i="33" s="1"/>
  <c r="R390" i="33" s="1"/>
  <c r="R363" i="33"/>
  <c r="R377" i="33" s="1"/>
  <c r="N405" i="33"/>
  <c r="N419" i="33" s="1"/>
  <c r="N404" i="33"/>
  <c r="N418" i="33" s="1"/>
  <c r="N403" i="33"/>
  <c r="N417" i="33" s="1"/>
  <c r="N402" i="33"/>
  <c r="N416" i="33" s="1"/>
  <c r="N401" i="33"/>
  <c r="N415" i="33" s="1"/>
  <c r="N400" i="33"/>
  <c r="N414" i="33" s="1"/>
  <c r="N399" i="33"/>
  <c r="N413" i="33" s="1"/>
  <c r="N398" i="33"/>
  <c r="N412" i="33" s="1"/>
  <c r="N397" i="33"/>
  <c r="N411" i="33" s="1"/>
  <c r="N396" i="33"/>
  <c r="N410" i="33" s="1"/>
  <c r="N395" i="33"/>
  <c r="N409" i="33" s="1"/>
  <c r="N394" i="33"/>
  <c r="N408" i="33" s="1"/>
  <c r="N393" i="33"/>
  <c r="N407" i="33" s="1"/>
  <c r="M393" i="33"/>
  <c r="M394" i="33"/>
  <c r="M395" i="33"/>
  <c r="M396" i="33"/>
  <c r="M397" i="33"/>
  <c r="M398" i="33"/>
  <c r="M399" i="33"/>
  <c r="M400" i="33"/>
  <c r="R364" i="33" l="1"/>
  <c r="R39" i="24" s="1"/>
  <c r="R391" i="33"/>
  <c r="R378" i="33" s="1"/>
  <c r="R40" i="24" s="1"/>
  <c r="AA147" i="33"/>
  <c r="AA134" i="33" s="1"/>
  <c r="AA17" i="24" s="1"/>
  <c r="V134" i="33"/>
  <c r="V17" i="24" s="1"/>
  <c r="C29" i="35"/>
  <c r="E31" i="35" s="1"/>
  <c r="E30" i="35" s="1"/>
  <c r="E29" i="35" s="1"/>
  <c r="V422" i="33"/>
  <c r="V45" i="24" s="1"/>
  <c r="E422" i="33"/>
  <c r="E45" i="24" s="1"/>
  <c r="F422" i="33"/>
  <c r="F45" i="24" s="1"/>
  <c r="S434" i="33"/>
  <c r="Z434" i="33"/>
  <c r="AC434" i="33"/>
  <c r="T434" i="33"/>
  <c r="Y434" i="33"/>
  <c r="B349" i="33" l="1"/>
  <c r="C349" i="33"/>
  <c r="V419" i="33"/>
  <c r="AA419" i="33" s="1"/>
  <c r="V418" i="33"/>
  <c r="AA418" i="33" s="1"/>
  <c r="C418" i="33"/>
  <c r="V417" i="33"/>
  <c r="AA417" i="33" s="1"/>
  <c r="C417" i="33"/>
  <c r="V416" i="33"/>
  <c r="AA416" i="33" s="1"/>
  <c r="C416" i="33"/>
  <c r="V415" i="33"/>
  <c r="AA415" i="33" s="1"/>
  <c r="C415" i="33"/>
  <c r="V414" i="33"/>
  <c r="AA414" i="33" s="1"/>
  <c r="C414" i="33"/>
  <c r="V413" i="33"/>
  <c r="AA413" i="33" s="1"/>
  <c r="C413" i="33"/>
  <c r="V412" i="33"/>
  <c r="AA412" i="33" s="1"/>
  <c r="C412" i="33"/>
  <c r="V411" i="33"/>
  <c r="AA411" i="33" s="1"/>
  <c r="C411" i="33"/>
  <c r="V410" i="33"/>
  <c r="AA410" i="33" s="1"/>
  <c r="C410" i="33"/>
  <c r="V409" i="33"/>
  <c r="AA409" i="33" s="1"/>
  <c r="C409" i="33"/>
  <c r="V408" i="33"/>
  <c r="AA408" i="33" s="1"/>
  <c r="C408" i="33"/>
  <c r="V407" i="33"/>
  <c r="AA407" i="33" s="1"/>
  <c r="C407" i="33"/>
  <c r="V405" i="33"/>
  <c r="AA405" i="33" s="1"/>
  <c r="V404" i="33"/>
  <c r="AA404" i="33" s="1"/>
  <c r="C404" i="33"/>
  <c r="V403" i="33"/>
  <c r="C403" i="33"/>
  <c r="V402" i="33"/>
  <c r="C402" i="33"/>
  <c r="V401" i="33"/>
  <c r="AA401" i="33" s="1"/>
  <c r="C401" i="33"/>
  <c r="V400" i="33"/>
  <c r="C400" i="33"/>
  <c r="V399" i="33"/>
  <c r="C399" i="33"/>
  <c r="V398" i="33"/>
  <c r="C398" i="33"/>
  <c r="V397" i="33"/>
  <c r="AA397" i="33" s="1"/>
  <c r="C397" i="33"/>
  <c r="V396" i="33"/>
  <c r="AA396" i="33" s="1"/>
  <c r="C396" i="33"/>
  <c r="V395" i="33"/>
  <c r="AA395" i="33" s="1"/>
  <c r="C395" i="33"/>
  <c r="V394" i="33"/>
  <c r="C394" i="33"/>
  <c r="V393" i="33"/>
  <c r="M407" i="33"/>
  <c r="C393" i="33"/>
  <c r="AA363" i="33"/>
  <c r="AA377" i="33" s="1"/>
  <c r="M405" i="33"/>
  <c r="AA362" i="33"/>
  <c r="AA376" i="33" s="1"/>
  <c r="AA390" i="33" s="1"/>
  <c r="M404" i="33"/>
  <c r="M418" i="33" s="1"/>
  <c r="C362" i="33"/>
  <c r="AA361" i="33"/>
  <c r="AA375" i="33" s="1"/>
  <c r="AA389" i="33" s="1"/>
  <c r="M403" i="33"/>
  <c r="M417" i="33" s="1"/>
  <c r="C361" i="33"/>
  <c r="AA360" i="33"/>
  <c r="AA374" i="33" s="1"/>
  <c r="AA388" i="33" s="1"/>
  <c r="M402" i="33"/>
  <c r="M416" i="33" s="1"/>
  <c r="C360" i="33"/>
  <c r="AA359" i="33"/>
  <c r="AA373" i="33" s="1"/>
  <c r="AA387" i="33" s="1"/>
  <c r="M401" i="33"/>
  <c r="M415" i="33" s="1"/>
  <c r="C359" i="33"/>
  <c r="AA358" i="33"/>
  <c r="AA372" i="33" s="1"/>
  <c r="AA386" i="33" s="1"/>
  <c r="M414" i="33"/>
  <c r="C358" i="33"/>
  <c r="AA357" i="33"/>
  <c r="AA371" i="33" s="1"/>
  <c r="AA385" i="33" s="1"/>
  <c r="M413" i="33"/>
  <c r="C357" i="33"/>
  <c r="AA356" i="33"/>
  <c r="AA370" i="33" s="1"/>
  <c r="AA384" i="33" s="1"/>
  <c r="M412" i="33"/>
  <c r="C356" i="33"/>
  <c r="AA355" i="33"/>
  <c r="AA369" i="33" s="1"/>
  <c r="AA383" i="33" s="1"/>
  <c r="M411" i="33"/>
  <c r="C355" i="33"/>
  <c r="AA354" i="33"/>
  <c r="AA368" i="33" s="1"/>
  <c r="AA382" i="33" s="1"/>
  <c r="M410" i="33"/>
  <c r="C354" i="33"/>
  <c r="AA353" i="33"/>
  <c r="AA367" i="33" s="1"/>
  <c r="AA381" i="33" s="1"/>
  <c r="M409" i="33"/>
  <c r="C353" i="33"/>
  <c r="AA352" i="33"/>
  <c r="AA366" i="33" s="1"/>
  <c r="AA380" i="33" s="1"/>
  <c r="M408" i="33"/>
  <c r="C352" i="33"/>
  <c r="AA351" i="33"/>
  <c r="AA365" i="33" s="1"/>
  <c r="AA379" i="33" s="1"/>
  <c r="C351" i="33"/>
  <c r="AA364" i="33" l="1"/>
  <c r="AA39" i="24" s="1"/>
  <c r="AA391" i="33"/>
  <c r="AA378" i="33" s="1"/>
  <c r="AA40" i="24" s="1"/>
  <c r="M419" i="33"/>
  <c r="AA398" i="33"/>
  <c r="T416" i="33"/>
  <c r="AC360" i="33"/>
  <c r="AC374" i="33" s="1"/>
  <c r="AC388" i="33" s="1"/>
  <c r="T360" i="33"/>
  <c r="T374" i="33" s="1"/>
  <c r="T388" i="33" s="1"/>
  <c r="S360" i="33"/>
  <c r="S374" i="33" s="1"/>
  <c r="S388" i="33" s="1"/>
  <c r="Z360" i="33"/>
  <c r="Z374" i="33" s="1"/>
  <c r="Z388" i="33" s="1"/>
  <c r="Z408" i="33"/>
  <c r="AC352" i="33"/>
  <c r="AC366" i="33" s="1"/>
  <c r="AC380" i="33" s="1"/>
  <c r="T352" i="33"/>
  <c r="T366" i="33" s="1"/>
  <c r="T380" i="33" s="1"/>
  <c r="S352" i="33"/>
  <c r="S366" i="33" s="1"/>
  <c r="S380" i="33" s="1"/>
  <c r="AA393" i="33"/>
  <c r="AA400" i="33"/>
  <c r="AA403" i="33"/>
  <c r="AA399" i="33"/>
  <c r="AA394" i="33"/>
  <c r="AA402" i="33"/>
  <c r="M292" i="33"/>
  <c r="B291" i="33"/>
  <c r="C291" i="33"/>
  <c r="V347" i="33"/>
  <c r="AA347" i="33" s="1"/>
  <c r="V346" i="33"/>
  <c r="C346" i="33"/>
  <c r="V345" i="33"/>
  <c r="C345" i="33"/>
  <c r="V344" i="33"/>
  <c r="C344" i="33"/>
  <c r="V343" i="33"/>
  <c r="C343" i="33"/>
  <c r="V342" i="33"/>
  <c r="AA342" i="33" s="1"/>
  <c r="C342" i="33"/>
  <c r="V341" i="33"/>
  <c r="AA341" i="33" s="1"/>
  <c r="C341" i="33"/>
  <c r="V340" i="33"/>
  <c r="C340" i="33"/>
  <c r="V339" i="33"/>
  <c r="C339" i="33"/>
  <c r="V338" i="33"/>
  <c r="AA338" i="33" s="1"/>
  <c r="C338" i="33"/>
  <c r="V337" i="33"/>
  <c r="C337" i="33"/>
  <c r="V336" i="33"/>
  <c r="C336" i="33"/>
  <c r="V335" i="33"/>
  <c r="C335" i="33"/>
  <c r="AA305" i="33"/>
  <c r="AA319" i="33" s="1"/>
  <c r="AA333" i="33" s="1"/>
  <c r="AA320" i="33" s="1"/>
  <c r="AA34" i="24" s="1"/>
  <c r="AA304" i="33"/>
  <c r="AA318" i="33" s="1"/>
  <c r="C304" i="33"/>
  <c r="AA303" i="33"/>
  <c r="AA317" i="33" s="1"/>
  <c r="C303" i="33"/>
  <c r="AA302" i="33"/>
  <c r="AA316" i="33" s="1"/>
  <c r="C302" i="33"/>
  <c r="AA301" i="33"/>
  <c r="AA315" i="33" s="1"/>
  <c r="C301" i="33"/>
  <c r="AA300" i="33"/>
  <c r="AA314" i="33" s="1"/>
  <c r="C300" i="33"/>
  <c r="AA299" i="33"/>
  <c r="AA313" i="33" s="1"/>
  <c r="C299" i="33"/>
  <c r="AA298" i="33"/>
  <c r="AA312" i="33" s="1"/>
  <c r="C298" i="33"/>
  <c r="AA297" i="33"/>
  <c r="AA311" i="33" s="1"/>
  <c r="C297" i="33"/>
  <c r="AA296" i="33"/>
  <c r="AA310" i="33" s="1"/>
  <c r="C296" i="33"/>
  <c r="AA295" i="33"/>
  <c r="AA309" i="33" s="1"/>
  <c r="C295" i="33"/>
  <c r="AA294" i="33"/>
  <c r="AA308" i="33" s="1"/>
  <c r="C294" i="33"/>
  <c r="AA293" i="33"/>
  <c r="AA307" i="33" s="1"/>
  <c r="C293" i="33"/>
  <c r="R193" i="33"/>
  <c r="R207" i="33" s="1"/>
  <c r="R194" i="33"/>
  <c r="R264" i="33" s="1"/>
  <c r="Z264" i="33" s="1"/>
  <c r="R195" i="33"/>
  <c r="T195" i="33" s="1"/>
  <c r="R196" i="33"/>
  <c r="R197" i="33"/>
  <c r="R198" i="33"/>
  <c r="R199" i="33"/>
  <c r="R200" i="33"/>
  <c r="R201" i="33"/>
  <c r="R202" i="33"/>
  <c r="R402" i="33" s="1"/>
  <c r="R203" i="33"/>
  <c r="T203" i="33" s="1"/>
  <c r="R204" i="33"/>
  <c r="Y204" i="33" s="1"/>
  <c r="R205" i="33"/>
  <c r="T233" i="33" s="1"/>
  <c r="B191" i="33"/>
  <c r="C191" i="33"/>
  <c r="C288" i="33"/>
  <c r="C287" i="33"/>
  <c r="C286" i="33"/>
  <c r="C285" i="33"/>
  <c r="C284" i="33"/>
  <c r="C283" i="33"/>
  <c r="C282" i="33"/>
  <c r="C281" i="33"/>
  <c r="C280" i="33"/>
  <c r="C279" i="33"/>
  <c r="C278" i="33"/>
  <c r="C277" i="33"/>
  <c r="V275" i="33"/>
  <c r="P275" i="33"/>
  <c r="V274" i="33"/>
  <c r="AA274" i="33" s="1"/>
  <c r="P274" i="33"/>
  <c r="C274" i="33"/>
  <c r="V273" i="33"/>
  <c r="AA273" i="33" s="1"/>
  <c r="P273" i="33"/>
  <c r="C273" i="33"/>
  <c r="V272" i="33"/>
  <c r="AA272" i="33" s="1"/>
  <c r="P272" i="33"/>
  <c r="C272" i="33"/>
  <c r="V271" i="33"/>
  <c r="AA271" i="33" s="1"/>
  <c r="P271" i="33"/>
  <c r="C271" i="33"/>
  <c r="V270" i="33"/>
  <c r="AA270" i="33" s="1"/>
  <c r="P270" i="33"/>
  <c r="C270" i="33"/>
  <c r="V269" i="33"/>
  <c r="AA269" i="33" s="1"/>
  <c r="P269" i="33"/>
  <c r="C269" i="33"/>
  <c r="V268" i="33"/>
  <c r="AA268" i="33" s="1"/>
  <c r="P268" i="33"/>
  <c r="C268" i="33"/>
  <c r="V267" i="33"/>
  <c r="AA267" i="33" s="1"/>
  <c r="P267" i="33"/>
  <c r="C267" i="33"/>
  <c r="V266" i="33"/>
  <c r="AA266" i="33" s="1"/>
  <c r="P266" i="33"/>
  <c r="C266" i="33"/>
  <c r="V265" i="33"/>
  <c r="AA265" i="33" s="1"/>
  <c r="P265" i="33"/>
  <c r="C265" i="33"/>
  <c r="V264" i="33"/>
  <c r="AA264" i="33" s="1"/>
  <c r="P264" i="33"/>
  <c r="C264" i="33"/>
  <c r="V263" i="33"/>
  <c r="AA263" i="33" s="1"/>
  <c r="P263" i="33"/>
  <c r="C263" i="33"/>
  <c r="V233" i="33"/>
  <c r="P233" i="33"/>
  <c r="P261" i="33" s="1"/>
  <c r="P248" i="33" s="1"/>
  <c r="P27" i="24" s="1"/>
  <c r="V232" i="33"/>
  <c r="P232" i="33"/>
  <c r="P260" i="33" s="1"/>
  <c r="C232" i="33"/>
  <c r="V231" i="33"/>
  <c r="P231" i="33"/>
  <c r="P259" i="33" s="1"/>
  <c r="C231" i="33"/>
  <c r="V230" i="33"/>
  <c r="P230" i="33"/>
  <c r="P258" i="33" s="1"/>
  <c r="C230" i="33"/>
  <c r="V229" i="33"/>
  <c r="P229" i="33"/>
  <c r="P257" i="33" s="1"/>
  <c r="C229" i="33"/>
  <c r="V228" i="33"/>
  <c r="P228" i="33"/>
  <c r="P256" i="33" s="1"/>
  <c r="C228" i="33"/>
  <c r="V227" i="33"/>
  <c r="P227" i="33"/>
  <c r="P255" i="33" s="1"/>
  <c r="C227" i="33"/>
  <c r="V226" i="33"/>
  <c r="P226" i="33"/>
  <c r="P254" i="33" s="1"/>
  <c r="C226" i="33"/>
  <c r="V225" i="33"/>
  <c r="P225" i="33"/>
  <c r="P253" i="33" s="1"/>
  <c r="C225" i="33"/>
  <c r="V224" i="33"/>
  <c r="P224" i="33"/>
  <c r="P252" i="33" s="1"/>
  <c r="C224" i="33"/>
  <c r="V223" i="33"/>
  <c r="P223" i="33"/>
  <c r="P251" i="33" s="1"/>
  <c r="C223" i="33"/>
  <c r="V222" i="33"/>
  <c r="P222" i="33"/>
  <c r="P250" i="33" s="1"/>
  <c r="C222" i="33"/>
  <c r="V221" i="33"/>
  <c r="P221" i="33"/>
  <c r="P249" i="33" s="1"/>
  <c r="C221" i="33"/>
  <c r="V219" i="33"/>
  <c r="P219" i="33"/>
  <c r="V218" i="33"/>
  <c r="P218" i="33"/>
  <c r="C218" i="33"/>
  <c r="V217" i="33"/>
  <c r="P217" i="33"/>
  <c r="C217" i="33"/>
  <c r="V216" i="33"/>
  <c r="P216" i="33"/>
  <c r="C216" i="33"/>
  <c r="V215" i="33"/>
  <c r="P215" i="33"/>
  <c r="C215" i="33"/>
  <c r="V214" i="33"/>
  <c r="P214" i="33"/>
  <c r="C214" i="33"/>
  <c r="V213" i="33"/>
  <c r="P213" i="33"/>
  <c r="C213" i="33"/>
  <c r="V212" i="33"/>
  <c r="P212" i="33"/>
  <c r="C212" i="33"/>
  <c r="V211" i="33"/>
  <c r="P211" i="33"/>
  <c r="C211" i="33"/>
  <c r="V210" i="33"/>
  <c r="P210" i="33"/>
  <c r="C210" i="33"/>
  <c r="V209" i="33"/>
  <c r="P209" i="33"/>
  <c r="C209" i="33"/>
  <c r="V208" i="33"/>
  <c r="P208" i="33"/>
  <c r="C208" i="33"/>
  <c r="V207" i="33"/>
  <c r="P207" i="33"/>
  <c r="C207" i="33"/>
  <c r="AA205" i="33"/>
  <c r="AA204" i="33"/>
  <c r="C204" i="33"/>
  <c r="AA203" i="33"/>
  <c r="C203" i="33"/>
  <c r="AA202" i="33"/>
  <c r="C202" i="33"/>
  <c r="AA201" i="33"/>
  <c r="C201" i="33"/>
  <c r="AA200" i="33"/>
  <c r="C200" i="33"/>
  <c r="AA199" i="33"/>
  <c r="C199" i="33"/>
  <c r="AA198" i="33"/>
  <c r="C198" i="33"/>
  <c r="AA197" i="33"/>
  <c r="C197" i="33"/>
  <c r="AA196" i="33"/>
  <c r="C196" i="33"/>
  <c r="AA195" i="33"/>
  <c r="C195" i="33"/>
  <c r="AA194" i="33"/>
  <c r="C194" i="33"/>
  <c r="AA193" i="33"/>
  <c r="C193" i="33"/>
  <c r="M32" i="24" l="1"/>
  <c r="AA332" i="33"/>
  <c r="AA321" i="33"/>
  <c r="AA325" i="33"/>
  <c r="AA329" i="33"/>
  <c r="AA324" i="33"/>
  <c r="AA330" i="33"/>
  <c r="AA326" i="33"/>
  <c r="AA323" i="33"/>
  <c r="AA327" i="33"/>
  <c r="AA331" i="33"/>
  <c r="AA328" i="33"/>
  <c r="AA322" i="33"/>
  <c r="AA306" i="33"/>
  <c r="AA33" i="24" s="1"/>
  <c r="AA228" i="33"/>
  <c r="V256" i="33"/>
  <c r="AA256" i="33" s="1"/>
  <c r="AA223" i="33"/>
  <c r="V251" i="33"/>
  <c r="AA251" i="33" s="1"/>
  <c r="AA231" i="33"/>
  <c r="V259" i="33"/>
  <c r="AA259" i="33" s="1"/>
  <c r="AA224" i="33"/>
  <c r="V252" i="33"/>
  <c r="AA252" i="33" s="1"/>
  <c r="AA232" i="33"/>
  <c r="V260" i="33"/>
  <c r="AA260" i="33" s="1"/>
  <c r="AA226" i="33"/>
  <c r="V254" i="33"/>
  <c r="AA254" i="33" s="1"/>
  <c r="AA221" i="33"/>
  <c r="V249" i="33"/>
  <c r="AA249" i="33" s="1"/>
  <c r="AA227" i="33"/>
  <c r="V255" i="33"/>
  <c r="AA255" i="33" s="1"/>
  <c r="AA225" i="33"/>
  <c r="V253" i="33"/>
  <c r="AA253" i="33" s="1"/>
  <c r="AA229" i="33"/>
  <c r="V257" i="33"/>
  <c r="AA257" i="33" s="1"/>
  <c r="AA222" i="33"/>
  <c r="V250" i="33"/>
  <c r="AA250" i="33" s="1"/>
  <c r="AA230" i="33"/>
  <c r="V258" i="33"/>
  <c r="AA258" i="33" s="1"/>
  <c r="AA233" i="33"/>
  <c r="V261" i="33"/>
  <c r="V248" i="33" s="1"/>
  <c r="V27" i="24" s="1"/>
  <c r="Z207" i="33"/>
  <c r="Z235" i="33"/>
  <c r="T235" i="33"/>
  <c r="V278" i="33"/>
  <c r="AA278" i="33" s="1"/>
  <c r="V236" i="33"/>
  <c r="AA236" i="33" s="1"/>
  <c r="P281" i="33"/>
  <c r="P355" i="33" s="1"/>
  <c r="P369" i="33" s="1"/>
  <c r="P383" i="33" s="1"/>
  <c r="P239" i="33"/>
  <c r="V286" i="33"/>
  <c r="AA286" i="33" s="1"/>
  <c r="V244" i="33"/>
  <c r="AA244" i="33" s="1"/>
  <c r="AA219" i="33"/>
  <c r="V247" i="33"/>
  <c r="V234" i="33" s="1"/>
  <c r="V26" i="24" s="1"/>
  <c r="AA211" i="33"/>
  <c r="V239" i="33"/>
  <c r="AA239" i="33" s="1"/>
  <c r="P284" i="33"/>
  <c r="P430" i="33" s="1"/>
  <c r="P242" i="33"/>
  <c r="V284" i="33"/>
  <c r="AA284" i="33" s="1"/>
  <c r="V242" i="33"/>
  <c r="AA242" i="33" s="1"/>
  <c r="AA209" i="33"/>
  <c r="V237" i="33"/>
  <c r="AA237" i="33" s="1"/>
  <c r="P277" i="33"/>
  <c r="P293" i="33" s="1"/>
  <c r="P235" i="33"/>
  <c r="V282" i="33"/>
  <c r="AA282" i="33" s="1"/>
  <c r="V240" i="33"/>
  <c r="AA240" i="33" s="1"/>
  <c r="P285" i="33"/>
  <c r="P301" i="33" s="1"/>
  <c r="P243" i="33"/>
  <c r="P278" i="33"/>
  <c r="P294" i="33" s="1"/>
  <c r="P236" i="33"/>
  <c r="AA213" i="33"/>
  <c r="V241" i="33"/>
  <c r="AA241" i="33" s="1"/>
  <c r="P289" i="33"/>
  <c r="P305" i="33" s="1"/>
  <c r="P247" i="33"/>
  <c r="P234" i="33" s="1"/>
  <c r="P26" i="24" s="1"/>
  <c r="P279" i="33"/>
  <c r="P353" i="33" s="1"/>
  <c r="P367" i="33" s="1"/>
  <c r="P381" i="33" s="1"/>
  <c r="P237" i="33"/>
  <c r="P287" i="33"/>
  <c r="P433" i="33" s="1"/>
  <c r="P245" i="33"/>
  <c r="P282" i="33"/>
  <c r="P298" i="33" s="1"/>
  <c r="P240" i="33"/>
  <c r="AA217" i="33"/>
  <c r="V245" i="33"/>
  <c r="AA245" i="33" s="1"/>
  <c r="V277" i="33"/>
  <c r="AA277" i="33" s="1"/>
  <c r="V235" i="33"/>
  <c r="AA235" i="33" s="1"/>
  <c r="P280" i="33"/>
  <c r="P426" i="33" s="1"/>
  <c r="P238" i="33"/>
  <c r="AA215" i="33"/>
  <c r="V243" i="33"/>
  <c r="AA243" i="33" s="1"/>
  <c r="P288" i="33"/>
  <c r="P362" i="33" s="1"/>
  <c r="P376" i="33" s="1"/>
  <c r="P390" i="33" s="1"/>
  <c r="P246" i="33"/>
  <c r="P286" i="33"/>
  <c r="P360" i="33" s="1"/>
  <c r="P374" i="33" s="1"/>
  <c r="P388" i="33" s="1"/>
  <c r="P244" i="33"/>
  <c r="V280" i="33"/>
  <c r="AA280" i="33" s="1"/>
  <c r="V238" i="33"/>
  <c r="AA238" i="33" s="1"/>
  <c r="P283" i="33"/>
  <c r="P299" i="33" s="1"/>
  <c r="P241" i="33"/>
  <c r="V288" i="33"/>
  <c r="AA288" i="33" s="1"/>
  <c r="V246" i="33"/>
  <c r="AA246" i="33" s="1"/>
  <c r="AC203" i="33"/>
  <c r="R217" i="33"/>
  <c r="T217" i="33" s="1"/>
  <c r="R265" i="33"/>
  <c r="Y265" i="33" s="1"/>
  <c r="M392" i="33"/>
  <c r="M41" i="24" s="1"/>
  <c r="E406" i="33"/>
  <c r="E42" i="24" s="1"/>
  <c r="D334" i="33"/>
  <c r="D35" i="24" s="1"/>
  <c r="D406" i="33"/>
  <c r="D42" i="24" s="1"/>
  <c r="V406" i="33"/>
  <c r="V42" i="24" s="1"/>
  <c r="E292" i="33"/>
  <c r="E334" i="33"/>
  <c r="E35" i="24" s="1"/>
  <c r="D392" i="33"/>
  <c r="D41" i="24" s="1"/>
  <c r="V392" i="33"/>
  <c r="V41" i="24" s="1"/>
  <c r="F334" i="33"/>
  <c r="F35" i="24" s="1"/>
  <c r="E392" i="33"/>
  <c r="E41" i="24" s="1"/>
  <c r="N334" i="33"/>
  <c r="N35" i="24" s="1"/>
  <c r="M350" i="33"/>
  <c r="R272" i="33"/>
  <c r="AC272" i="33" s="1"/>
  <c r="T222" i="33"/>
  <c r="Z194" i="33"/>
  <c r="S202" i="33"/>
  <c r="Z222" i="33"/>
  <c r="T230" i="33"/>
  <c r="Z202" i="33"/>
  <c r="Y194" i="33"/>
  <c r="T202" i="33"/>
  <c r="AC202" i="33"/>
  <c r="S194" i="33"/>
  <c r="R208" i="33"/>
  <c r="Z230" i="33"/>
  <c r="Y202" i="33"/>
  <c r="T194" i="33"/>
  <c r="AC194" i="33"/>
  <c r="R216" i="33"/>
  <c r="M406" i="33"/>
  <c r="M42" i="24" s="1"/>
  <c r="V350" i="33"/>
  <c r="F292" i="33"/>
  <c r="D350" i="33"/>
  <c r="N292" i="33"/>
  <c r="E350" i="33"/>
  <c r="Z229" i="33"/>
  <c r="Z225" i="33"/>
  <c r="R266" i="33"/>
  <c r="Z266" i="33" s="1"/>
  <c r="Z352" i="33"/>
  <c r="Z366" i="33" s="1"/>
  <c r="Z380" i="33" s="1"/>
  <c r="Y352" i="33"/>
  <c r="Y366" i="33" s="1"/>
  <c r="Y380" i="33" s="1"/>
  <c r="Y360" i="33"/>
  <c r="Y374" i="33" s="1"/>
  <c r="Y388" i="33" s="1"/>
  <c r="R270" i="33"/>
  <c r="Y270" i="33" s="1"/>
  <c r="Y201" i="33"/>
  <c r="Z227" i="33"/>
  <c r="Z198" i="33"/>
  <c r="R394" i="33"/>
  <c r="T394" i="33" s="1"/>
  <c r="T408" i="33"/>
  <c r="Z416" i="33"/>
  <c r="R263" i="33"/>
  <c r="AC263" i="33" s="1"/>
  <c r="Z233" i="33"/>
  <c r="R218" i="33"/>
  <c r="R273" i="33"/>
  <c r="Y273" i="33" s="1"/>
  <c r="Y195" i="33"/>
  <c r="R416" i="33"/>
  <c r="T402" i="33"/>
  <c r="S402" i="33"/>
  <c r="AC402" i="33"/>
  <c r="Z402" i="33"/>
  <c r="Y402" i="33"/>
  <c r="T198" i="33"/>
  <c r="Z223" i="33"/>
  <c r="R209" i="33"/>
  <c r="V334" i="33"/>
  <c r="V35" i="24" s="1"/>
  <c r="D292" i="33"/>
  <c r="V292" i="33"/>
  <c r="C27" i="35"/>
  <c r="T201" i="33"/>
  <c r="R215" i="33"/>
  <c r="Z221" i="33"/>
  <c r="Y193" i="33"/>
  <c r="Z193" i="33"/>
  <c r="Z197" i="33"/>
  <c r="T200" i="33"/>
  <c r="AC200" i="33"/>
  <c r="S205" i="33"/>
  <c r="R214" i="33"/>
  <c r="Z228" i="33"/>
  <c r="M334" i="33"/>
  <c r="M35" i="24" s="1"/>
  <c r="Z201" i="33"/>
  <c r="L293" i="33"/>
  <c r="L307" i="33" s="1"/>
  <c r="T193" i="33"/>
  <c r="AC193" i="33"/>
  <c r="T221" i="33"/>
  <c r="T229" i="33"/>
  <c r="Y200" i="33"/>
  <c r="S201" i="33"/>
  <c r="T225" i="33"/>
  <c r="R271" i="33"/>
  <c r="S193" i="33"/>
  <c r="Z200" i="33"/>
  <c r="AC201" i="33"/>
  <c r="T228" i="33"/>
  <c r="S200" i="33"/>
  <c r="R219" i="33"/>
  <c r="T227" i="33"/>
  <c r="AC198" i="33"/>
  <c r="S203" i="33"/>
  <c r="Y199" i="33"/>
  <c r="Z199" i="33"/>
  <c r="Y196" i="33"/>
  <c r="Z231" i="33"/>
  <c r="R269" i="33"/>
  <c r="T269" i="33" s="1"/>
  <c r="AC195" i="33"/>
  <c r="S199" i="33"/>
  <c r="Z226" i="33"/>
  <c r="S195" i="33"/>
  <c r="T199" i="33"/>
  <c r="AC199" i="33"/>
  <c r="AA337" i="33"/>
  <c r="AA340" i="33"/>
  <c r="AA345" i="33"/>
  <c r="AA346" i="33"/>
  <c r="AA336" i="33"/>
  <c r="AA344" i="33"/>
  <c r="AA335" i="33"/>
  <c r="AA343" i="33"/>
  <c r="AA339" i="33"/>
  <c r="AC205" i="33"/>
  <c r="R267" i="33"/>
  <c r="Z195" i="33"/>
  <c r="T196" i="33"/>
  <c r="AC196" i="33"/>
  <c r="Z203" i="33"/>
  <c r="T204" i="33"/>
  <c r="AC204" i="33"/>
  <c r="Y205" i="33"/>
  <c r="Z224" i="33"/>
  <c r="T226" i="33"/>
  <c r="Z232" i="33"/>
  <c r="S197" i="33"/>
  <c r="R211" i="33"/>
  <c r="T197" i="33"/>
  <c r="Y197" i="33"/>
  <c r="S198" i="33"/>
  <c r="Z205" i="33"/>
  <c r="R212" i="33"/>
  <c r="T223" i="33"/>
  <c r="T231" i="33"/>
  <c r="R275" i="33"/>
  <c r="Z275" i="33" s="1"/>
  <c r="R268" i="33"/>
  <c r="T268" i="33" s="1"/>
  <c r="T205" i="33"/>
  <c r="R274" i="33"/>
  <c r="Z196" i="33"/>
  <c r="AC197" i="33"/>
  <c r="Y198" i="33"/>
  <c r="R213" i="33"/>
  <c r="T224" i="33"/>
  <c r="T232" i="33"/>
  <c r="Z204" i="33"/>
  <c r="S196" i="33"/>
  <c r="Y203" i="33"/>
  <c r="S204" i="33"/>
  <c r="R210" i="33"/>
  <c r="V285" i="33"/>
  <c r="AA285" i="33" s="1"/>
  <c r="AA208" i="33"/>
  <c r="AA212" i="33"/>
  <c r="AA218" i="33"/>
  <c r="V281" i="33"/>
  <c r="AA281" i="33" s="1"/>
  <c r="AA216" i="33"/>
  <c r="AA210" i="33"/>
  <c r="V279" i="33"/>
  <c r="AA279" i="33" s="1"/>
  <c r="AA207" i="33"/>
  <c r="AA214" i="33"/>
  <c r="V283" i="33"/>
  <c r="AA283" i="33" s="1"/>
  <c r="Y207" i="33"/>
  <c r="AA275" i="33"/>
  <c r="R221" i="33"/>
  <c r="T207" i="33"/>
  <c r="AC264" i="33"/>
  <c r="T264" i="33"/>
  <c r="Y264" i="33"/>
  <c r="R277" i="33"/>
  <c r="AC207" i="33"/>
  <c r="S207" i="33"/>
  <c r="V289" i="33"/>
  <c r="S264" i="33"/>
  <c r="V287" i="33"/>
  <c r="AA287" i="33" s="1"/>
  <c r="M38" i="24" l="1"/>
  <c r="E38" i="24"/>
  <c r="D38" i="24"/>
  <c r="V38" i="24"/>
  <c r="V32" i="24"/>
  <c r="N32" i="24"/>
  <c r="P313" i="33"/>
  <c r="P327" i="33" s="1"/>
  <c r="P312" i="33"/>
  <c r="P326" i="33" s="1"/>
  <c r="P307" i="33"/>
  <c r="P321" i="33" s="1"/>
  <c r="P308" i="33"/>
  <c r="P322" i="33" s="1"/>
  <c r="F32" i="24"/>
  <c r="D32" i="24"/>
  <c r="E32" i="24"/>
  <c r="P315" i="33"/>
  <c r="P329" i="33" s="1"/>
  <c r="S217" i="33"/>
  <c r="L321" i="33"/>
  <c r="L303" i="33"/>
  <c r="L317" i="33" s="1"/>
  <c r="AC217" i="33"/>
  <c r="P424" i="33"/>
  <c r="R231" i="33"/>
  <c r="Y231" i="33" s="1"/>
  <c r="P302" i="33"/>
  <c r="P303" i="33"/>
  <c r="P345" i="33" s="1"/>
  <c r="P347" i="33"/>
  <c r="P334" i="33" s="1"/>
  <c r="P35" i="24" s="1"/>
  <c r="P319" i="33"/>
  <c r="P333" i="33" s="1"/>
  <c r="P320" i="33" s="1"/>
  <c r="P34" i="24" s="1"/>
  <c r="P354" i="33"/>
  <c r="P352" i="33"/>
  <c r="P341" i="33"/>
  <c r="P340" i="33"/>
  <c r="P335" i="33"/>
  <c r="P361" i="33"/>
  <c r="P358" i="33"/>
  <c r="P343" i="33"/>
  <c r="P336" i="33"/>
  <c r="P296" i="33"/>
  <c r="P300" i="33"/>
  <c r="R235" i="33"/>
  <c r="R249" i="33" s="1"/>
  <c r="Z249" i="33"/>
  <c r="T249" i="33"/>
  <c r="P427" i="33"/>
  <c r="P435" i="33"/>
  <c r="P422" i="33" s="1"/>
  <c r="P45" i="24" s="1"/>
  <c r="P297" i="33"/>
  <c r="P363" i="33"/>
  <c r="AA261" i="33"/>
  <c r="AA248" i="33" s="1"/>
  <c r="AA27" i="24" s="1"/>
  <c r="P423" i="33"/>
  <c r="P434" i="33"/>
  <c r="T213" i="33"/>
  <c r="T241" i="33"/>
  <c r="Z241" i="33"/>
  <c r="Z215" i="33"/>
  <c r="Z243" i="33"/>
  <c r="T243" i="33"/>
  <c r="P359" i="33"/>
  <c r="P432" i="33"/>
  <c r="R288" i="33"/>
  <c r="T288" i="33" s="1"/>
  <c r="T246" i="33"/>
  <c r="Z246" i="33"/>
  <c r="P431" i="33"/>
  <c r="P295" i="33"/>
  <c r="P304" i="33"/>
  <c r="R284" i="33"/>
  <c r="Y284" i="33" s="1"/>
  <c r="Z242" i="33"/>
  <c r="T242" i="33"/>
  <c r="P425" i="33"/>
  <c r="P357" i="33"/>
  <c r="P428" i="33"/>
  <c r="AA247" i="33"/>
  <c r="AA234" i="33" s="1"/>
  <c r="AA26" i="24" s="1"/>
  <c r="Z209" i="33"/>
  <c r="Z237" i="33"/>
  <c r="T237" i="33"/>
  <c r="Z210" i="33"/>
  <c r="Z238" i="33"/>
  <c r="T238" i="33"/>
  <c r="R286" i="33"/>
  <c r="S286" i="33" s="1"/>
  <c r="Z244" i="33"/>
  <c r="T244" i="33"/>
  <c r="R278" i="33"/>
  <c r="S278" i="33" s="1"/>
  <c r="T236" i="33"/>
  <c r="Z236" i="33"/>
  <c r="P429" i="33"/>
  <c r="P351" i="33"/>
  <c r="P356" i="33"/>
  <c r="S212" i="33"/>
  <c r="T240" i="33"/>
  <c r="Z240" i="33"/>
  <c r="Y211" i="33"/>
  <c r="T239" i="33"/>
  <c r="Z239" i="33"/>
  <c r="T219" i="33"/>
  <c r="Z247" i="33"/>
  <c r="Z234" i="33" s="1"/>
  <c r="Z26" i="24" s="1"/>
  <c r="T247" i="33"/>
  <c r="T234" i="33" s="1"/>
  <c r="T26" i="24" s="1"/>
  <c r="R287" i="33"/>
  <c r="Z287" i="33" s="1"/>
  <c r="Z245" i="33"/>
  <c r="T245" i="33"/>
  <c r="Y217" i="33"/>
  <c r="AC265" i="33"/>
  <c r="Z217" i="33"/>
  <c r="Y209" i="33"/>
  <c r="T265" i="33"/>
  <c r="R222" i="33"/>
  <c r="AC208" i="33"/>
  <c r="S219" i="33"/>
  <c r="T272" i="33"/>
  <c r="Z216" i="33"/>
  <c r="Y216" i="33"/>
  <c r="S216" i="33"/>
  <c r="T216" i="33"/>
  <c r="S272" i="33"/>
  <c r="Z218" i="33"/>
  <c r="Z265" i="33"/>
  <c r="Z208" i="33"/>
  <c r="Y208" i="33"/>
  <c r="R282" i="33"/>
  <c r="Z282" i="33" s="1"/>
  <c r="R233" i="33"/>
  <c r="T208" i="33"/>
  <c r="R279" i="33"/>
  <c r="Y279" i="33" s="1"/>
  <c r="L294" i="33"/>
  <c r="L308" i="33" s="1"/>
  <c r="S265" i="33"/>
  <c r="S263" i="33"/>
  <c r="S208" i="33"/>
  <c r="Z270" i="33"/>
  <c r="Z272" i="33"/>
  <c r="Y272" i="33"/>
  <c r="S213" i="33"/>
  <c r="P402" i="33"/>
  <c r="P416" i="33"/>
  <c r="P411" i="33"/>
  <c r="P397" i="33"/>
  <c r="AC218" i="33"/>
  <c r="P292" i="33"/>
  <c r="P409" i="33"/>
  <c r="P395" i="33"/>
  <c r="P404" i="33"/>
  <c r="P418" i="33"/>
  <c r="L305" i="33"/>
  <c r="AC216" i="33"/>
  <c r="L302" i="33"/>
  <c r="L316" i="33" s="1"/>
  <c r="R230" i="33"/>
  <c r="AC211" i="33"/>
  <c r="S215" i="33"/>
  <c r="T211" i="33"/>
  <c r="Z211" i="33"/>
  <c r="S270" i="33"/>
  <c r="S275" i="33"/>
  <c r="Y219" i="33"/>
  <c r="R283" i="33"/>
  <c r="Z283" i="33" s="1"/>
  <c r="AC266" i="33"/>
  <c r="Y394" i="33"/>
  <c r="S218" i="33"/>
  <c r="Y266" i="33"/>
  <c r="AC273" i="33"/>
  <c r="T266" i="33"/>
  <c r="R223" i="33"/>
  <c r="S209" i="33"/>
  <c r="T212" i="33"/>
  <c r="AC219" i="33"/>
  <c r="L295" i="33"/>
  <c r="L309" i="33" s="1"/>
  <c r="AC394" i="33"/>
  <c r="AC362" i="33"/>
  <c r="AC376" i="33" s="1"/>
  <c r="AC390" i="33" s="1"/>
  <c r="Z362" i="33"/>
  <c r="Z376" i="33" s="1"/>
  <c r="Z390" i="33" s="1"/>
  <c r="Z418" i="33"/>
  <c r="R404" i="33"/>
  <c r="Y362" i="33"/>
  <c r="Y376" i="33" s="1"/>
  <c r="Y390" i="33" s="1"/>
  <c r="T362" i="33"/>
  <c r="T376" i="33" s="1"/>
  <c r="T390" i="33" s="1"/>
  <c r="S362" i="33"/>
  <c r="S376" i="33" s="1"/>
  <c r="S390" i="33" s="1"/>
  <c r="T418" i="33"/>
  <c r="R226" i="33"/>
  <c r="Z263" i="33"/>
  <c r="S394" i="33"/>
  <c r="T218" i="33"/>
  <c r="L304" i="33"/>
  <c r="L318" i="33" s="1"/>
  <c r="Z356" i="33"/>
  <c r="Z370" i="33" s="1"/>
  <c r="Z384" i="33" s="1"/>
  <c r="T356" i="33"/>
  <c r="T370" i="33" s="1"/>
  <c r="T384" i="33" s="1"/>
  <c r="AC356" i="33"/>
  <c r="AC370" i="33" s="1"/>
  <c r="AC384" i="33" s="1"/>
  <c r="R398" i="33"/>
  <c r="S356" i="33"/>
  <c r="S370" i="33" s="1"/>
  <c r="S384" i="33" s="1"/>
  <c r="Z412" i="33"/>
  <c r="T412" i="33"/>
  <c r="Y356" i="33"/>
  <c r="Y370" i="33" s="1"/>
  <c r="Y384" i="33" s="1"/>
  <c r="Z359" i="33"/>
  <c r="Z373" i="33" s="1"/>
  <c r="Z387" i="33" s="1"/>
  <c r="Y359" i="33"/>
  <c r="Y373" i="33" s="1"/>
  <c r="Y387" i="33" s="1"/>
  <c r="T415" i="33"/>
  <c r="Z415" i="33"/>
  <c r="AC359" i="33"/>
  <c r="AC373" i="33" s="1"/>
  <c r="AC387" i="33" s="1"/>
  <c r="S359" i="33"/>
  <c r="S373" i="33" s="1"/>
  <c r="S387" i="33" s="1"/>
  <c r="R401" i="33"/>
  <c r="T359" i="33"/>
  <c r="T373" i="33" s="1"/>
  <c r="T387" i="33" s="1"/>
  <c r="T263" i="33"/>
  <c r="Y218" i="33"/>
  <c r="T273" i="33"/>
  <c r="AC209" i="33"/>
  <c r="Y212" i="33"/>
  <c r="T209" i="33"/>
  <c r="Z394" i="33"/>
  <c r="Z357" i="33"/>
  <c r="Z371" i="33" s="1"/>
  <c r="Z385" i="33" s="1"/>
  <c r="T357" i="33"/>
  <c r="T371" i="33" s="1"/>
  <c r="T385" i="33" s="1"/>
  <c r="AC357" i="33"/>
  <c r="AC371" i="33" s="1"/>
  <c r="AC385" i="33" s="1"/>
  <c r="Y357" i="33"/>
  <c r="Y371" i="33" s="1"/>
  <c r="Y385" i="33" s="1"/>
  <c r="T413" i="33"/>
  <c r="Z413" i="33"/>
  <c r="S357" i="33"/>
  <c r="S371" i="33" s="1"/>
  <c r="S385" i="33" s="1"/>
  <c r="R399" i="33"/>
  <c r="S361" i="33"/>
  <c r="S375" i="33" s="1"/>
  <c r="S389" i="33" s="1"/>
  <c r="Y361" i="33"/>
  <c r="Y375" i="33" s="1"/>
  <c r="Y389" i="33" s="1"/>
  <c r="AC361" i="33"/>
  <c r="AC375" i="33" s="1"/>
  <c r="AC389" i="33" s="1"/>
  <c r="R403" i="33"/>
  <c r="Z417" i="33"/>
  <c r="Z361" i="33"/>
  <c r="Z375" i="33" s="1"/>
  <c r="Z389" i="33" s="1"/>
  <c r="T361" i="33"/>
  <c r="T375" i="33" s="1"/>
  <c r="T389" i="33" s="1"/>
  <c r="T417" i="33"/>
  <c r="T407" i="33"/>
  <c r="Z351" i="33"/>
  <c r="Z365" i="33" s="1"/>
  <c r="Z379" i="33" s="1"/>
  <c r="Y351" i="33"/>
  <c r="Y365" i="33" s="1"/>
  <c r="Y379" i="33" s="1"/>
  <c r="R393" i="33"/>
  <c r="AC351" i="33"/>
  <c r="AC365" i="33" s="1"/>
  <c r="AC379" i="33" s="1"/>
  <c r="S351" i="33"/>
  <c r="S365" i="33" s="1"/>
  <c r="S379" i="33" s="1"/>
  <c r="Z407" i="33"/>
  <c r="T351" i="33"/>
  <c r="T365" i="33" s="1"/>
  <c r="T379" i="33" s="1"/>
  <c r="S273" i="33"/>
  <c r="Z410" i="33"/>
  <c r="Z354" i="33"/>
  <c r="Z368" i="33" s="1"/>
  <c r="Z382" i="33" s="1"/>
  <c r="T354" i="33"/>
  <c r="T368" i="33" s="1"/>
  <c r="T382" i="33" s="1"/>
  <c r="AC354" i="33"/>
  <c r="AC368" i="33" s="1"/>
  <c r="AC382" i="33" s="1"/>
  <c r="S354" i="33"/>
  <c r="S368" i="33" s="1"/>
  <c r="S382" i="33" s="1"/>
  <c r="R396" i="33"/>
  <c r="Y354" i="33"/>
  <c r="Y368" i="33" s="1"/>
  <c r="Y382" i="33" s="1"/>
  <c r="T410" i="33"/>
  <c r="Z273" i="33"/>
  <c r="S267" i="33"/>
  <c r="R408" i="33"/>
  <c r="AB408" i="33" s="1"/>
  <c r="S266" i="33"/>
  <c r="Z212" i="33"/>
  <c r="Y263" i="33"/>
  <c r="Y213" i="33"/>
  <c r="Z274" i="33"/>
  <c r="S355" i="33"/>
  <c r="S369" i="33" s="1"/>
  <c r="S383" i="33" s="1"/>
  <c r="R397" i="33"/>
  <c r="Z411" i="33"/>
  <c r="Z355" i="33"/>
  <c r="Z369" i="33" s="1"/>
  <c r="Z383" i="33" s="1"/>
  <c r="AC355" i="33"/>
  <c r="AC369" i="33" s="1"/>
  <c r="AC383" i="33" s="1"/>
  <c r="Y355" i="33"/>
  <c r="Y369" i="33" s="1"/>
  <c r="Y383" i="33" s="1"/>
  <c r="T355" i="33"/>
  <c r="T369" i="33" s="1"/>
  <c r="T383" i="33" s="1"/>
  <c r="T411" i="33"/>
  <c r="T414" i="33"/>
  <c r="Z414" i="33"/>
  <c r="AC358" i="33"/>
  <c r="AC372" i="33" s="1"/>
  <c r="AC386" i="33" s="1"/>
  <c r="T358" i="33"/>
  <c r="T372" i="33" s="1"/>
  <c r="T386" i="33" s="1"/>
  <c r="S358" i="33"/>
  <c r="S372" i="33" s="1"/>
  <c r="S386" i="33" s="1"/>
  <c r="Z358" i="33"/>
  <c r="Z372" i="33" s="1"/>
  <c r="Z386" i="33" s="1"/>
  <c r="Y358" i="33"/>
  <c r="Y372" i="33" s="1"/>
  <c r="Y386" i="33" s="1"/>
  <c r="R400" i="33"/>
  <c r="S268" i="33"/>
  <c r="T270" i="33"/>
  <c r="AC270" i="33"/>
  <c r="R289" i="33"/>
  <c r="AC289" i="33" s="1"/>
  <c r="R232" i="33"/>
  <c r="Z219" i="33"/>
  <c r="T275" i="33"/>
  <c r="S269" i="33"/>
  <c r="S271" i="33"/>
  <c r="T409" i="33"/>
  <c r="S353" i="33"/>
  <c r="S367" i="33" s="1"/>
  <c r="S381" i="33" s="1"/>
  <c r="Y353" i="33"/>
  <c r="Y367" i="33" s="1"/>
  <c r="Y381" i="33" s="1"/>
  <c r="T353" i="33"/>
  <c r="T367" i="33" s="1"/>
  <c r="T381" i="33" s="1"/>
  <c r="R395" i="33"/>
  <c r="AC353" i="33"/>
  <c r="AC367" i="33" s="1"/>
  <c r="AC381" i="33" s="1"/>
  <c r="Z409" i="33"/>
  <c r="Z353" i="33"/>
  <c r="Z367" i="33" s="1"/>
  <c r="Z381" i="33" s="1"/>
  <c r="T419" i="33"/>
  <c r="T363" i="33"/>
  <c r="T377" i="33" s="1"/>
  <c r="Z363" i="33"/>
  <c r="Z377" i="33" s="1"/>
  <c r="AC363" i="33"/>
  <c r="AC377" i="33" s="1"/>
  <c r="S363" i="33"/>
  <c r="S377" i="33" s="1"/>
  <c r="R405" i="33"/>
  <c r="Z419" i="33"/>
  <c r="Y363" i="33"/>
  <c r="Y377" i="33" s="1"/>
  <c r="AC416" i="33"/>
  <c r="S416" i="33"/>
  <c r="AB416" i="33"/>
  <c r="Y416" i="33"/>
  <c r="S274" i="33"/>
  <c r="R227" i="33"/>
  <c r="Y269" i="33"/>
  <c r="AC268" i="33"/>
  <c r="L301" i="33"/>
  <c r="L315" i="33" s="1"/>
  <c r="Z214" i="33"/>
  <c r="L300" i="33"/>
  <c r="L314" i="33" s="1"/>
  <c r="AC214" i="33"/>
  <c r="T271" i="33"/>
  <c r="R285" i="33"/>
  <c r="T285" i="33" s="1"/>
  <c r="R228" i="33"/>
  <c r="T274" i="33"/>
  <c r="Y214" i="33"/>
  <c r="Y268" i="33"/>
  <c r="T214" i="33"/>
  <c r="Y271" i="33"/>
  <c r="Z268" i="33"/>
  <c r="R229" i="33"/>
  <c r="Y215" i="33"/>
  <c r="AC271" i="33"/>
  <c r="S214" i="33"/>
  <c r="Z271" i="33"/>
  <c r="T215" i="33"/>
  <c r="AC215" i="33"/>
  <c r="Y274" i="33"/>
  <c r="R225" i="33"/>
  <c r="Y267" i="33"/>
  <c r="AC274" i="33"/>
  <c r="AC267" i="33"/>
  <c r="AC275" i="33"/>
  <c r="S211" i="33"/>
  <c r="Z213" i="33"/>
  <c r="L299" i="33"/>
  <c r="L313" i="33" s="1"/>
  <c r="AC269" i="33"/>
  <c r="Y275" i="33"/>
  <c r="R224" i="33"/>
  <c r="L296" i="33"/>
  <c r="L310" i="33" s="1"/>
  <c r="L334" i="33"/>
  <c r="L35" i="24" s="1"/>
  <c r="T267" i="33"/>
  <c r="Z267" i="33"/>
  <c r="R281" i="33"/>
  <c r="L297" i="33"/>
  <c r="L311" i="33" s="1"/>
  <c r="Z269" i="33"/>
  <c r="AC212" i="33"/>
  <c r="L298" i="33"/>
  <c r="L312" i="33" s="1"/>
  <c r="T210" i="33"/>
  <c r="AC213" i="33"/>
  <c r="AC210" i="33"/>
  <c r="S210" i="33"/>
  <c r="Y210" i="33"/>
  <c r="R280" i="33"/>
  <c r="Z280" i="33" s="1"/>
  <c r="AA289" i="33"/>
  <c r="T277" i="33"/>
  <c r="Z277" i="33"/>
  <c r="S277" i="33"/>
  <c r="AC277" i="33"/>
  <c r="Y277" i="33"/>
  <c r="AC221" i="33"/>
  <c r="S221" i="33"/>
  <c r="AB221" i="33"/>
  <c r="Y221" i="33"/>
  <c r="S364" i="33" l="1"/>
  <c r="S39" i="24" s="1"/>
  <c r="S391" i="33"/>
  <c r="S378" i="33" s="1"/>
  <c r="S40" i="24" s="1"/>
  <c r="AC391" i="33"/>
  <c r="AC378" i="33" s="1"/>
  <c r="AC40" i="24" s="1"/>
  <c r="AC364" i="33"/>
  <c r="AC39" i="24" s="1"/>
  <c r="P414" i="33"/>
  <c r="P372" i="33"/>
  <c r="P386" i="33" s="1"/>
  <c r="Z364" i="33"/>
  <c r="Z39" i="24" s="1"/>
  <c r="Z391" i="33"/>
  <c r="Z378" i="33" s="1"/>
  <c r="Z40" i="24" s="1"/>
  <c r="P407" i="33"/>
  <c r="P365" i="33"/>
  <c r="P379" i="33" s="1"/>
  <c r="P413" i="33"/>
  <c r="P371" i="33"/>
  <c r="P385" i="33" s="1"/>
  <c r="P410" i="33"/>
  <c r="P368" i="33"/>
  <c r="P382" i="33" s="1"/>
  <c r="T391" i="33"/>
  <c r="T378" i="33" s="1"/>
  <c r="T40" i="24" s="1"/>
  <c r="T364" i="33"/>
  <c r="T39" i="24" s="1"/>
  <c r="P417" i="33"/>
  <c r="P375" i="33"/>
  <c r="P389" i="33" s="1"/>
  <c r="P401" i="33"/>
  <c r="P373" i="33"/>
  <c r="P387" i="33" s="1"/>
  <c r="Y364" i="33"/>
  <c r="Y39" i="24" s="1"/>
  <c r="Y391" i="33"/>
  <c r="Y378" i="33" s="1"/>
  <c r="Y40" i="24" s="1"/>
  <c r="P350" i="33"/>
  <c r="P377" i="33"/>
  <c r="P398" i="33"/>
  <c r="P370" i="33"/>
  <c r="P384" i="33" s="1"/>
  <c r="P408" i="33"/>
  <c r="P366" i="33"/>
  <c r="P380" i="33" s="1"/>
  <c r="P316" i="33"/>
  <c r="P330" i="33" s="1"/>
  <c r="P310" i="33"/>
  <c r="P324" i="33" s="1"/>
  <c r="P309" i="33"/>
  <c r="P323" i="33" s="1"/>
  <c r="P314" i="33"/>
  <c r="P328" i="33" s="1"/>
  <c r="T259" i="33"/>
  <c r="P311" i="33"/>
  <c r="P325" i="33" s="1"/>
  <c r="AB231" i="33"/>
  <c r="R245" i="33"/>
  <c r="R259" i="33" s="1"/>
  <c r="AC259" i="33" s="1"/>
  <c r="AC231" i="33"/>
  <c r="P317" i="33"/>
  <c r="P331" i="33" s="1"/>
  <c r="Z259" i="33"/>
  <c r="S231" i="33"/>
  <c r="S235" i="33"/>
  <c r="P344" i="33"/>
  <c r="L332" i="33"/>
  <c r="L327" i="33"/>
  <c r="L330" i="33"/>
  <c r="P394" i="33"/>
  <c r="L322" i="33"/>
  <c r="L328" i="33"/>
  <c r="L325" i="33"/>
  <c r="L331" i="33"/>
  <c r="L326" i="33"/>
  <c r="L324" i="33"/>
  <c r="L329" i="33"/>
  <c r="L323" i="33"/>
  <c r="P400" i="33"/>
  <c r="P396" i="33"/>
  <c r="AC284" i="33"/>
  <c r="L292" i="33"/>
  <c r="L319" i="33"/>
  <c r="L333" i="33" s="1"/>
  <c r="L320" i="33" s="1"/>
  <c r="L34" i="24" s="1"/>
  <c r="P399" i="33"/>
  <c r="P415" i="33"/>
  <c r="P412" i="33"/>
  <c r="P306" i="33"/>
  <c r="P33" i="24" s="1"/>
  <c r="P346" i="33"/>
  <c r="P318" i="33"/>
  <c r="P403" i="33"/>
  <c r="Z278" i="33"/>
  <c r="Y287" i="33"/>
  <c r="Y288" i="33"/>
  <c r="Z288" i="33"/>
  <c r="P32" i="24"/>
  <c r="P337" i="33"/>
  <c r="P393" i="33"/>
  <c r="P405" i="33"/>
  <c r="P392" i="33" s="1"/>
  <c r="P41" i="24" s="1"/>
  <c r="AC235" i="33"/>
  <c r="P342" i="33"/>
  <c r="P419" i="33"/>
  <c r="P406" i="33" s="1"/>
  <c r="P42" i="24" s="1"/>
  <c r="Y235" i="33"/>
  <c r="P338" i="33"/>
  <c r="AB235" i="33"/>
  <c r="P339" i="33"/>
  <c r="T252" i="33"/>
  <c r="Z252" i="33"/>
  <c r="S259" i="33"/>
  <c r="S288" i="33"/>
  <c r="T251" i="33"/>
  <c r="Z251" i="33"/>
  <c r="T250" i="33"/>
  <c r="Z250" i="33"/>
  <c r="AC288" i="33"/>
  <c r="T260" i="33"/>
  <c r="Z260" i="33"/>
  <c r="S249" i="33"/>
  <c r="AC249" i="33"/>
  <c r="AB249" i="33"/>
  <c r="Y249" i="33"/>
  <c r="Z256" i="33"/>
  <c r="T256" i="33"/>
  <c r="Z284" i="33"/>
  <c r="Z253" i="33"/>
  <c r="T253" i="33"/>
  <c r="Z257" i="33"/>
  <c r="T257" i="33"/>
  <c r="T255" i="33"/>
  <c r="Z255" i="33"/>
  <c r="T258" i="33"/>
  <c r="Z258" i="33"/>
  <c r="T254" i="33"/>
  <c r="Z254" i="33"/>
  <c r="T261" i="33"/>
  <c r="T248" i="33" s="1"/>
  <c r="T27" i="24" s="1"/>
  <c r="Z261" i="33"/>
  <c r="Z248" i="33" s="1"/>
  <c r="Z27" i="24" s="1"/>
  <c r="AC229" i="33"/>
  <c r="R243" i="33"/>
  <c r="R257" i="33" s="1"/>
  <c r="AB222" i="33"/>
  <c r="R236" i="33"/>
  <c r="R250" i="33" s="1"/>
  <c r="Y223" i="33"/>
  <c r="R237" i="33"/>
  <c r="R251" i="33" s="1"/>
  <c r="AC286" i="33"/>
  <c r="S232" i="33"/>
  <c r="R246" i="33"/>
  <c r="R260" i="33" s="1"/>
  <c r="Y286" i="33"/>
  <c r="AB225" i="33"/>
  <c r="R239" i="33"/>
  <c r="R253" i="33" s="1"/>
  <c r="AB233" i="33"/>
  <c r="R247" i="33"/>
  <c r="Y278" i="33"/>
  <c r="AC287" i="33"/>
  <c r="AC230" i="33"/>
  <c r="R244" i="33"/>
  <c r="R258" i="33" s="1"/>
  <c r="S284" i="33"/>
  <c r="T284" i="33"/>
  <c r="Y224" i="33"/>
  <c r="R238" i="33"/>
  <c r="R252" i="33" s="1"/>
  <c r="AC278" i="33"/>
  <c r="T286" i="33"/>
  <c r="Y227" i="33"/>
  <c r="R241" i="33"/>
  <c r="R255" i="33" s="1"/>
  <c r="AB226" i="33"/>
  <c r="R240" i="33"/>
  <c r="R254" i="33" s="1"/>
  <c r="S287" i="33"/>
  <c r="T287" i="33"/>
  <c r="Z286" i="33"/>
  <c r="S228" i="33"/>
  <c r="R242" i="33"/>
  <c r="R256" i="33" s="1"/>
  <c r="T278" i="33"/>
  <c r="AC222" i="33"/>
  <c r="Y282" i="33"/>
  <c r="AC282" i="33"/>
  <c r="Y283" i="33"/>
  <c r="Z279" i="33"/>
  <c r="T279" i="33"/>
  <c r="Y222" i="33"/>
  <c r="S222" i="33"/>
  <c r="AC279" i="33"/>
  <c r="S279" i="33"/>
  <c r="S233" i="33"/>
  <c r="AC408" i="33"/>
  <c r="S230" i="33"/>
  <c r="S282" i="33"/>
  <c r="T282" i="33"/>
  <c r="Y233" i="33"/>
  <c r="AC233" i="33"/>
  <c r="AC283" i="33"/>
  <c r="S227" i="33"/>
  <c r="AB227" i="33"/>
  <c r="Y230" i="33"/>
  <c r="AC226" i="33"/>
  <c r="Y226" i="33"/>
  <c r="S226" i="33"/>
  <c r="Y408" i="33"/>
  <c r="Y289" i="33"/>
  <c r="R392" i="33"/>
  <c r="R41" i="24" s="1"/>
  <c r="AB230" i="33"/>
  <c r="AB232" i="33"/>
  <c r="AC232" i="33"/>
  <c r="T283" i="33"/>
  <c r="AB223" i="33"/>
  <c r="Y225" i="33"/>
  <c r="S283" i="33"/>
  <c r="AC223" i="33"/>
  <c r="Z289" i="33"/>
  <c r="T289" i="33"/>
  <c r="Y232" i="33"/>
  <c r="S289" i="33"/>
  <c r="T280" i="33"/>
  <c r="S223" i="33"/>
  <c r="Y405" i="33"/>
  <c r="Z405" i="33"/>
  <c r="R419" i="33"/>
  <c r="S405" i="33"/>
  <c r="AC405" i="33"/>
  <c r="T405" i="33"/>
  <c r="T392" i="33" s="1"/>
  <c r="T41" i="24" s="1"/>
  <c r="AB228" i="33"/>
  <c r="S408" i="33"/>
  <c r="Z393" i="33"/>
  <c r="Y393" i="33"/>
  <c r="T393" i="33"/>
  <c r="AC393" i="33"/>
  <c r="R407" i="33"/>
  <c r="S393" i="33"/>
  <c r="S403" i="33"/>
  <c r="Z403" i="33"/>
  <c r="Y403" i="33"/>
  <c r="AC403" i="33"/>
  <c r="T403" i="33"/>
  <c r="R417" i="33"/>
  <c r="Z395" i="33"/>
  <c r="R409" i="33"/>
  <c r="AC395" i="33"/>
  <c r="S395" i="33"/>
  <c r="Y395" i="33"/>
  <c r="T395" i="33"/>
  <c r="S285" i="33"/>
  <c r="Z396" i="33"/>
  <c r="T396" i="33"/>
  <c r="S396" i="33"/>
  <c r="Y396" i="33"/>
  <c r="R410" i="33"/>
  <c r="AC396" i="33"/>
  <c r="Y399" i="33"/>
  <c r="AC399" i="33"/>
  <c r="S399" i="33"/>
  <c r="R413" i="33"/>
  <c r="T399" i="33"/>
  <c r="Z399" i="33"/>
  <c r="R415" i="33"/>
  <c r="S401" i="33"/>
  <c r="Z401" i="33"/>
  <c r="Y401" i="33"/>
  <c r="AC401" i="33"/>
  <c r="T401" i="33"/>
  <c r="Z404" i="33"/>
  <c r="T404" i="33"/>
  <c r="Y404" i="33"/>
  <c r="AC404" i="33"/>
  <c r="R418" i="33"/>
  <c r="S404" i="33"/>
  <c r="S400" i="33"/>
  <c r="R414" i="33"/>
  <c r="T400" i="33"/>
  <c r="Z400" i="33"/>
  <c r="Y400" i="33"/>
  <c r="AC400" i="33"/>
  <c r="AC397" i="33"/>
  <c r="R411" i="33"/>
  <c r="T397" i="33"/>
  <c r="Y397" i="33"/>
  <c r="S397" i="33"/>
  <c r="Z397" i="33"/>
  <c r="AC228" i="33"/>
  <c r="AC398" i="33"/>
  <c r="Z398" i="33"/>
  <c r="R412" i="33"/>
  <c r="S398" i="33"/>
  <c r="Y398" i="33"/>
  <c r="T398" i="33"/>
  <c r="AC227" i="33"/>
  <c r="Y285" i="33"/>
  <c r="Y228" i="33"/>
  <c r="Y229" i="33"/>
  <c r="S225" i="33"/>
  <c r="AC225" i="33"/>
  <c r="S229" i="33"/>
  <c r="AC285" i="33"/>
  <c r="AB229" i="33"/>
  <c r="Z285" i="33"/>
  <c r="AC224" i="33"/>
  <c r="S224" i="33"/>
  <c r="AB224" i="33"/>
  <c r="AC280" i="33"/>
  <c r="S281" i="33"/>
  <c r="Z281" i="33"/>
  <c r="Y281" i="33"/>
  <c r="AC281" i="33"/>
  <c r="T281" i="33"/>
  <c r="S280" i="33"/>
  <c r="Y280" i="33"/>
  <c r="Y245" i="33" l="1"/>
  <c r="AC245" i="33"/>
  <c r="P38" i="24"/>
  <c r="AB259" i="33"/>
  <c r="P364" i="33"/>
  <c r="P39" i="24" s="1"/>
  <c r="P391" i="33"/>
  <c r="P378" i="33" s="1"/>
  <c r="P40" i="24" s="1"/>
  <c r="Y259" i="33"/>
  <c r="L32" i="24"/>
  <c r="S245" i="33"/>
  <c r="AB245" i="33"/>
  <c r="P332" i="33"/>
  <c r="L306" i="33"/>
  <c r="L33" i="24" s="1"/>
  <c r="Y252" i="33"/>
  <c r="AC252" i="33"/>
  <c r="AB252" i="33"/>
  <c r="S252" i="33"/>
  <c r="R261" i="33"/>
  <c r="R248" i="33" s="1"/>
  <c r="R27" i="24" s="1"/>
  <c r="R234" i="33"/>
  <c r="R26" i="24" s="1"/>
  <c r="Y251" i="33"/>
  <c r="AB251" i="33"/>
  <c r="AC251" i="33"/>
  <c r="S251" i="33"/>
  <c r="AB250" i="33"/>
  <c r="S250" i="33"/>
  <c r="Y250" i="33"/>
  <c r="AC250" i="33"/>
  <c r="AC255" i="33"/>
  <c r="S255" i="33"/>
  <c r="AB255" i="33"/>
  <c r="Y255" i="33"/>
  <c r="AB258" i="33"/>
  <c r="S258" i="33"/>
  <c r="Y258" i="33"/>
  <c r="AC258" i="33"/>
  <c r="S257" i="33"/>
  <c r="AC257" i="33"/>
  <c r="Y257" i="33"/>
  <c r="AB257" i="33"/>
  <c r="AB254" i="33"/>
  <c r="AC254" i="33"/>
  <c r="S254" i="33"/>
  <c r="Y254" i="33"/>
  <c r="AB256" i="33"/>
  <c r="Y256" i="33"/>
  <c r="AC256" i="33"/>
  <c r="S256" i="33"/>
  <c r="AB260" i="33"/>
  <c r="AC260" i="33"/>
  <c r="S260" i="33"/>
  <c r="Y260" i="33"/>
  <c r="S253" i="33"/>
  <c r="AC253" i="33"/>
  <c r="Y253" i="33"/>
  <c r="AB253" i="33"/>
  <c r="AC238" i="33"/>
  <c r="AB238" i="33"/>
  <c r="Y238" i="33"/>
  <c r="S238" i="33"/>
  <c r="Y240" i="33"/>
  <c r="AB240" i="33"/>
  <c r="S240" i="33"/>
  <c r="AC240" i="33"/>
  <c r="AB239" i="33"/>
  <c r="Y239" i="33"/>
  <c r="S239" i="33"/>
  <c r="AC239" i="33"/>
  <c r="AC236" i="33"/>
  <c r="AB236" i="33"/>
  <c r="S236" i="33"/>
  <c r="Y236" i="33"/>
  <c r="AC247" i="33"/>
  <c r="AC234" i="33" s="1"/>
  <c r="AC26" i="24" s="1"/>
  <c r="AB247" i="33"/>
  <c r="AB234" i="33" s="1"/>
  <c r="AB26" i="24" s="1"/>
  <c r="S247" i="33"/>
  <c r="S234" i="33" s="1"/>
  <c r="S26" i="24" s="1"/>
  <c r="Y247" i="33"/>
  <c r="Y234" i="33" s="1"/>
  <c r="Y26" i="24" s="1"/>
  <c r="AB241" i="33"/>
  <c r="AC241" i="33"/>
  <c r="S241" i="33"/>
  <c r="Y241" i="33"/>
  <c r="AC244" i="33"/>
  <c r="AB244" i="33"/>
  <c r="S244" i="33"/>
  <c r="Y244" i="33"/>
  <c r="AC243" i="33"/>
  <c r="S243" i="33"/>
  <c r="Y243" i="33"/>
  <c r="AB243" i="33"/>
  <c r="Y237" i="33"/>
  <c r="AC237" i="33"/>
  <c r="AB237" i="33"/>
  <c r="S237" i="33"/>
  <c r="S242" i="33"/>
  <c r="Y242" i="33"/>
  <c r="AC242" i="33"/>
  <c r="AB242" i="33"/>
  <c r="AC246" i="33"/>
  <c r="AB246" i="33"/>
  <c r="Y246" i="33"/>
  <c r="S246" i="33"/>
  <c r="S392" i="33"/>
  <c r="S41" i="24" s="1"/>
  <c r="T350" i="33"/>
  <c r="AC419" i="33"/>
  <c r="Y419" i="33"/>
  <c r="AB419" i="33"/>
  <c r="S419" i="33"/>
  <c r="Y418" i="33"/>
  <c r="AC418" i="33"/>
  <c r="S418" i="33"/>
  <c r="AB418" i="33"/>
  <c r="AC415" i="33"/>
  <c r="S415" i="33"/>
  <c r="Y415" i="33"/>
  <c r="AB415" i="33"/>
  <c r="S410" i="33"/>
  <c r="AC410" i="33"/>
  <c r="AB410" i="33"/>
  <c r="Y410" i="33"/>
  <c r="Y412" i="33"/>
  <c r="S412" i="33"/>
  <c r="AC412" i="33"/>
  <c r="AB412" i="33"/>
  <c r="AC414" i="33"/>
  <c r="AB414" i="33"/>
  <c r="S414" i="33"/>
  <c r="Y414" i="33"/>
  <c r="AB413" i="33"/>
  <c r="S413" i="33"/>
  <c r="AC413" i="33"/>
  <c r="Y413" i="33"/>
  <c r="AC411" i="33"/>
  <c r="AB411" i="33"/>
  <c r="S411" i="33"/>
  <c r="Y411" i="33"/>
  <c r="AB409" i="33"/>
  <c r="S409" i="33"/>
  <c r="AC409" i="33"/>
  <c r="Y409" i="33"/>
  <c r="Y407" i="33"/>
  <c r="AB407" i="33"/>
  <c r="AC407" i="33"/>
  <c r="S407" i="33"/>
  <c r="AC417" i="33"/>
  <c r="AB417" i="33"/>
  <c r="S417" i="33"/>
  <c r="Y417" i="33"/>
  <c r="T38" i="24" l="1"/>
  <c r="AB261" i="33"/>
  <c r="AB248" i="33" s="1"/>
  <c r="AB27" i="24" s="1"/>
  <c r="S261" i="33"/>
  <c r="S248" i="33" s="1"/>
  <c r="S27" i="24" s="1"/>
  <c r="Y261" i="33"/>
  <c r="Y248" i="33" s="1"/>
  <c r="Y27" i="24" s="1"/>
  <c r="AC261" i="33"/>
  <c r="AC248" i="33" s="1"/>
  <c r="AC27" i="24" s="1"/>
  <c r="R406" i="33"/>
  <c r="R42" i="24" s="1"/>
  <c r="T406" i="33"/>
  <c r="T42" i="24" s="1"/>
  <c r="R350" i="33"/>
  <c r="S350" i="33"/>
  <c r="S38" i="24" l="1"/>
  <c r="R38" i="24"/>
  <c r="S406" i="33"/>
  <c r="S42" i="24" s="1"/>
  <c r="C18" i="35"/>
  <c r="C6" i="35"/>
  <c r="E206" i="33" l="1"/>
  <c r="E24" i="24" s="1"/>
  <c r="P262" i="33"/>
  <c r="P28" i="24" s="1"/>
  <c r="D262" i="33"/>
  <c r="D28" i="24" s="1"/>
  <c r="V262" i="33"/>
  <c r="V28" i="24" s="1"/>
  <c r="D206" i="33"/>
  <c r="D24" i="24" s="1"/>
  <c r="V276" i="33"/>
  <c r="V29" i="24" s="1"/>
  <c r="F276" i="33"/>
  <c r="F29" i="24" s="1"/>
  <c r="E262" i="33"/>
  <c r="E28" i="24" s="1"/>
  <c r="P220" i="33"/>
  <c r="P25" i="24" s="1"/>
  <c r="F262" i="33"/>
  <c r="F28" i="24" s="1"/>
  <c r="N262" i="33"/>
  <c r="N28" i="24" s="1"/>
  <c r="V206" i="33"/>
  <c r="V24" i="24" s="1"/>
  <c r="D220" i="33"/>
  <c r="D25" i="24" s="1"/>
  <c r="N206" i="33"/>
  <c r="N24" i="24" s="1"/>
  <c r="E220" i="33"/>
  <c r="E25" i="24" s="1"/>
  <c r="V220" i="33"/>
  <c r="V25" i="24" s="1"/>
  <c r="P276" i="33"/>
  <c r="P29" i="24" s="1"/>
  <c r="E276" i="33"/>
  <c r="E29" i="24" s="1"/>
  <c r="F206" i="33"/>
  <c r="F24" i="24" s="1"/>
  <c r="N276" i="33"/>
  <c r="N29" i="24" s="1"/>
  <c r="P206" i="33"/>
  <c r="P24" i="24" s="1"/>
  <c r="F220" i="33"/>
  <c r="F25" i="24" s="1"/>
  <c r="D276" i="33"/>
  <c r="D29" i="24" s="1"/>
  <c r="N192" i="33"/>
  <c r="N23" i="24" s="1"/>
  <c r="E192" i="33"/>
  <c r="E23" i="24" s="1"/>
  <c r="F192" i="33"/>
  <c r="F23" i="24" s="1"/>
  <c r="P192" i="33"/>
  <c r="P23" i="24" s="1"/>
  <c r="D192" i="33"/>
  <c r="D23" i="24" s="1"/>
  <c r="V192" i="33"/>
  <c r="V23" i="24" s="1"/>
  <c r="R220" i="33" l="1"/>
  <c r="T220" i="33"/>
  <c r="T25" i="24" s="1"/>
  <c r="R276" i="33"/>
  <c r="R29" i="24" s="1"/>
  <c r="R206" i="33"/>
  <c r="R24" i="24" s="1"/>
  <c r="T192" i="33"/>
  <c r="T23" i="24" s="1"/>
  <c r="S220" i="33" l="1"/>
  <c r="S25" i="24" s="1"/>
  <c r="R25" i="24"/>
  <c r="T262" i="33"/>
  <c r="T28" i="24" s="1"/>
  <c r="R262" i="33"/>
  <c r="R28" i="24" s="1"/>
  <c r="S262" i="33"/>
  <c r="S28" i="24" s="1"/>
  <c r="S276" i="33"/>
  <c r="S29" i="24" s="1"/>
  <c r="T276" i="33"/>
  <c r="T29" i="24" s="1"/>
  <c r="T206" i="33"/>
  <c r="T24" i="24" s="1"/>
  <c r="S206" i="33"/>
  <c r="S24" i="24" s="1"/>
  <c r="R192" i="33"/>
  <c r="R23" i="24" s="1"/>
  <c r="S192" i="33" l="1"/>
  <c r="S23" i="24" s="1"/>
  <c r="Z406" i="33" l="1"/>
  <c r="Z42" i="24" s="1"/>
  <c r="Y392" i="33"/>
  <c r="Y41" i="24" s="1"/>
  <c r="Y206" i="33"/>
  <c r="Y24" i="24" s="1"/>
  <c r="Y262" i="33"/>
  <c r="Y28" i="24" s="1"/>
  <c r="Y406" i="33"/>
  <c r="Y42" i="24" s="1"/>
  <c r="Y276" i="33"/>
  <c r="Y29" i="24" s="1"/>
  <c r="Y220" i="33"/>
  <c r="Y25" i="24" s="1"/>
  <c r="Y350" i="33"/>
  <c r="Y192" i="33"/>
  <c r="Y23" i="24" s="1"/>
  <c r="Y38" i="24" l="1"/>
  <c r="Z276" i="33"/>
  <c r="Z29" i="24" s="1"/>
  <c r="AA334" i="33"/>
  <c r="AC276" i="33"/>
  <c r="AC29" i="24" s="1"/>
  <c r="AB406" i="33"/>
  <c r="AB42" i="24" s="1"/>
  <c r="Z392" i="33"/>
  <c r="Z41" i="24" s="1"/>
  <c r="AA406" i="33"/>
  <c r="AA42" i="24" s="1"/>
  <c r="AC406" i="33"/>
  <c r="AC42" i="24" s="1"/>
  <c r="Z350" i="33"/>
  <c r="B11" i="35"/>
  <c r="AA276" i="33"/>
  <c r="AA29" i="24" s="1"/>
  <c r="B18" i="35"/>
  <c r="F18" i="35" s="1"/>
  <c r="Z38" i="24" l="1"/>
  <c r="AA35" i="24"/>
  <c r="Z262" i="33"/>
  <c r="Z28" i="24" s="1"/>
  <c r="B5" i="35"/>
  <c r="Z206" i="33"/>
  <c r="Z24" i="24" s="1"/>
  <c r="AC262" i="33"/>
  <c r="AC28" i="24" s="1"/>
  <c r="AC206" i="33"/>
  <c r="AC24" i="24" s="1"/>
  <c r="AA206" i="33"/>
  <c r="AA24" i="24" s="1"/>
  <c r="Z220" i="33"/>
  <c r="Z25" i="24" s="1"/>
  <c r="AC392" i="33"/>
  <c r="AC41" i="24" s="1"/>
  <c r="AA392" i="33"/>
  <c r="AA41" i="24" s="1"/>
  <c r="AA350" i="33"/>
  <c r="AC350" i="33"/>
  <c r="B12" i="35"/>
  <c r="B27" i="35"/>
  <c r="F27" i="35" s="1"/>
  <c r="AA262" i="33"/>
  <c r="AA28" i="24" s="1"/>
  <c r="B31" i="35"/>
  <c r="Z192" i="33"/>
  <c r="Z23" i="24" s="1"/>
  <c r="AD2" i="33"/>
  <c r="AD2" i="24" s="1"/>
  <c r="AC2" i="33"/>
  <c r="AC2" i="24" s="1"/>
  <c r="AB2" i="33"/>
  <c r="AB2" i="24" s="1"/>
  <c r="AA2" i="33"/>
  <c r="AA2" i="24" s="1"/>
  <c r="Z2" i="33"/>
  <c r="Z2" i="24" s="1"/>
  <c r="Y2" i="33"/>
  <c r="Y2" i="24" s="1"/>
  <c r="X2" i="33"/>
  <c r="X2" i="24" s="1"/>
  <c r="W2" i="33"/>
  <c r="W2" i="24" s="1"/>
  <c r="V2" i="33"/>
  <c r="U2" i="33"/>
  <c r="U2" i="24" s="1"/>
  <c r="T2" i="33"/>
  <c r="T2" i="24" s="1"/>
  <c r="S2" i="33"/>
  <c r="S2" i="24" s="1"/>
  <c r="R2" i="33"/>
  <c r="Q2" i="33"/>
  <c r="P2" i="33"/>
  <c r="O2" i="33"/>
  <c r="O2" i="24" s="1"/>
  <c r="N2" i="33"/>
  <c r="N2" i="24" s="1"/>
  <c r="M2" i="33"/>
  <c r="M2" i="24" s="1"/>
  <c r="L2" i="33"/>
  <c r="L2" i="24" s="1"/>
  <c r="K2" i="33"/>
  <c r="K2" i="24" s="1"/>
  <c r="J2" i="33"/>
  <c r="J2" i="24" s="1"/>
  <c r="I2" i="33"/>
  <c r="I2" i="24" s="1"/>
  <c r="H2" i="33"/>
  <c r="H2" i="24" s="1"/>
  <c r="G2" i="33"/>
  <c r="F2" i="33"/>
  <c r="F2" i="24" s="1"/>
  <c r="E2" i="33"/>
  <c r="E2" i="24" s="1"/>
  <c r="D2" i="33"/>
  <c r="D2" i="24" s="1"/>
  <c r="C188" i="33"/>
  <c r="C187" i="33"/>
  <c r="C186" i="33"/>
  <c r="C185" i="33"/>
  <c r="C184" i="33"/>
  <c r="C183" i="33"/>
  <c r="C182" i="33"/>
  <c r="C181" i="33"/>
  <c r="C180" i="33"/>
  <c r="C179" i="33"/>
  <c r="C178" i="33"/>
  <c r="C177" i="33"/>
  <c r="V175" i="33"/>
  <c r="R175" i="33"/>
  <c r="R305" i="33" s="1"/>
  <c r="R319" i="33" s="1"/>
  <c r="R333" i="33" s="1"/>
  <c r="R320" i="33" s="1"/>
  <c r="R34" i="24" s="1"/>
  <c r="P175" i="33"/>
  <c r="V174" i="33"/>
  <c r="AA174" i="33" s="1"/>
  <c r="R174" i="33"/>
  <c r="P174" i="33"/>
  <c r="C174" i="33"/>
  <c r="V173" i="33"/>
  <c r="AA173" i="33" s="1"/>
  <c r="R173" i="33"/>
  <c r="P173" i="33"/>
  <c r="C173" i="33"/>
  <c r="V172" i="33"/>
  <c r="AA172" i="33" s="1"/>
  <c r="R172" i="33"/>
  <c r="P172" i="33"/>
  <c r="C172" i="33"/>
  <c r="V171" i="33"/>
  <c r="AA171" i="33" s="1"/>
  <c r="R171" i="33"/>
  <c r="P171" i="33"/>
  <c r="C171" i="33"/>
  <c r="V170" i="33"/>
  <c r="AA170" i="33" s="1"/>
  <c r="R170" i="33"/>
  <c r="P170" i="33"/>
  <c r="C170" i="33"/>
  <c r="V169" i="33"/>
  <c r="AA169" i="33" s="1"/>
  <c r="R169" i="33"/>
  <c r="R299" i="33" s="1"/>
  <c r="R313" i="33" s="1"/>
  <c r="R327" i="33" s="1"/>
  <c r="P169" i="33"/>
  <c r="C169" i="33"/>
  <c r="V168" i="33"/>
  <c r="AA168" i="33" s="1"/>
  <c r="R168" i="33"/>
  <c r="R298" i="33" s="1"/>
  <c r="R312" i="33" s="1"/>
  <c r="R326" i="33" s="1"/>
  <c r="P168" i="33"/>
  <c r="C168" i="33"/>
  <c r="V167" i="33"/>
  <c r="AA167" i="33" s="1"/>
  <c r="R167" i="33"/>
  <c r="P167" i="33"/>
  <c r="C167" i="33"/>
  <c r="V166" i="33"/>
  <c r="AA166" i="33" s="1"/>
  <c r="R166" i="33"/>
  <c r="P166" i="33"/>
  <c r="C166" i="33"/>
  <c r="V165" i="33"/>
  <c r="AA165" i="33" s="1"/>
  <c r="R165" i="33"/>
  <c r="P165" i="33"/>
  <c r="C165" i="33"/>
  <c r="V164" i="33"/>
  <c r="AA164" i="33" s="1"/>
  <c r="R164" i="33"/>
  <c r="R294" i="33" s="1"/>
  <c r="R308" i="33" s="1"/>
  <c r="R322" i="33" s="1"/>
  <c r="P164" i="33"/>
  <c r="C164" i="33"/>
  <c r="V163" i="33"/>
  <c r="AA163" i="33" s="1"/>
  <c r="R163" i="33"/>
  <c r="P163" i="33"/>
  <c r="C163" i="33"/>
  <c r="Z133" i="33"/>
  <c r="V133" i="33"/>
  <c r="V161" i="33" s="1"/>
  <c r="V148" i="33" s="1"/>
  <c r="V18" i="24" s="1"/>
  <c r="T133" i="33"/>
  <c r="P133" i="33"/>
  <c r="P161" i="33" s="1"/>
  <c r="P148" i="33" s="1"/>
  <c r="P18" i="24" s="1"/>
  <c r="Z132" i="33"/>
  <c r="V132" i="33"/>
  <c r="T132" i="33"/>
  <c r="P132" i="33"/>
  <c r="P160" i="33" s="1"/>
  <c r="C132" i="33"/>
  <c r="Z131" i="33"/>
  <c r="V131" i="33"/>
  <c r="T131" i="33"/>
  <c r="P131" i="33"/>
  <c r="P159" i="33" s="1"/>
  <c r="C131" i="33"/>
  <c r="Z130" i="33"/>
  <c r="V130" i="33"/>
  <c r="T130" i="33"/>
  <c r="P130" i="33"/>
  <c r="P158" i="33" s="1"/>
  <c r="C130" i="33"/>
  <c r="Z129" i="33"/>
  <c r="V129" i="33"/>
  <c r="T129" i="33"/>
  <c r="P129" i="33"/>
  <c r="P157" i="33" s="1"/>
  <c r="C129" i="33"/>
  <c r="Z128" i="33"/>
  <c r="V128" i="33"/>
  <c r="T128" i="33"/>
  <c r="P128" i="33"/>
  <c r="P156" i="33" s="1"/>
  <c r="C128" i="33"/>
  <c r="Z127" i="33"/>
  <c r="V127" i="33"/>
  <c r="T127" i="33"/>
  <c r="P127" i="33"/>
  <c r="P155" i="33" s="1"/>
  <c r="C127" i="33"/>
  <c r="Z126" i="33"/>
  <c r="V126" i="33"/>
  <c r="T126" i="33"/>
  <c r="P126" i="33"/>
  <c r="P154" i="33" s="1"/>
  <c r="C126" i="33"/>
  <c r="Z125" i="33"/>
  <c r="V125" i="33"/>
  <c r="T125" i="33"/>
  <c r="P125" i="33"/>
  <c r="P153" i="33" s="1"/>
  <c r="C125" i="33"/>
  <c r="Z124" i="33"/>
  <c r="V124" i="33"/>
  <c r="T124" i="33"/>
  <c r="P124" i="33"/>
  <c r="P152" i="33" s="1"/>
  <c r="C124" i="33"/>
  <c r="Z123" i="33"/>
  <c r="V123" i="33"/>
  <c r="T123" i="33"/>
  <c r="P123" i="33"/>
  <c r="P151" i="33" s="1"/>
  <c r="C123" i="33"/>
  <c r="Z122" i="33"/>
  <c r="V122" i="33"/>
  <c r="T122" i="33"/>
  <c r="P122" i="33"/>
  <c r="P150" i="33" s="1"/>
  <c r="C122" i="33"/>
  <c r="Z121" i="33"/>
  <c r="V121" i="33"/>
  <c r="T121" i="33"/>
  <c r="P121" i="33"/>
  <c r="P149" i="33" s="1"/>
  <c r="C121" i="33"/>
  <c r="L205" i="33"/>
  <c r="L192" i="33" s="1"/>
  <c r="L23" i="24" s="1"/>
  <c r="V118" i="33"/>
  <c r="R118" i="33"/>
  <c r="P118" i="33"/>
  <c r="C118" i="33"/>
  <c r="V117" i="33"/>
  <c r="V145" i="33" s="1"/>
  <c r="AA145" i="33" s="1"/>
  <c r="R117" i="33"/>
  <c r="P117" i="33"/>
  <c r="C117" i="33"/>
  <c r="V116" i="33"/>
  <c r="V144" i="33" s="1"/>
  <c r="AA144" i="33" s="1"/>
  <c r="R116" i="33"/>
  <c r="P116" i="33"/>
  <c r="C116" i="33"/>
  <c r="V115" i="33"/>
  <c r="V143" i="33" s="1"/>
  <c r="AA143" i="33" s="1"/>
  <c r="R115" i="33"/>
  <c r="P115" i="33"/>
  <c r="C115" i="33"/>
  <c r="V114" i="33"/>
  <c r="R114" i="33"/>
  <c r="P114" i="33"/>
  <c r="C114" i="33"/>
  <c r="V113" i="33"/>
  <c r="V141" i="33" s="1"/>
  <c r="AA141" i="33" s="1"/>
  <c r="R113" i="33"/>
  <c r="P113" i="33"/>
  <c r="C113" i="33"/>
  <c r="V112" i="33"/>
  <c r="R112" i="33"/>
  <c r="P112" i="33"/>
  <c r="C112" i="33"/>
  <c r="V111" i="33"/>
  <c r="V139" i="33" s="1"/>
  <c r="AA139" i="33" s="1"/>
  <c r="R111" i="33"/>
  <c r="P111" i="33"/>
  <c r="C111" i="33"/>
  <c r="V110" i="33"/>
  <c r="R110" i="33"/>
  <c r="P110" i="33"/>
  <c r="C110" i="33"/>
  <c r="V109" i="33"/>
  <c r="R109" i="33"/>
  <c r="P109" i="33"/>
  <c r="C109" i="33"/>
  <c r="V108" i="33"/>
  <c r="V136" i="33" s="1"/>
  <c r="AA136" i="33" s="1"/>
  <c r="R108" i="33"/>
  <c r="P108" i="33"/>
  <c r="C108" i="33"/>
  <c r="V107" i="33"/>
  <c r="V135" i="33" s="1"/>
  <c r="AA135" i="33" s="1"/>
  <c r="R107" i="33"/>
  <c r="P107" i="33"/>
  <c r="C107" i="33"/>
  <c r="AC105" i="33"/>
  <c r="AA105" i="33"/>
  <c r="Z105" i="33"/>
  <c r="Y105" i="33"/>
  <c r="T105" i="33"/>
  <c r="S105" i="33"/>
  <c r="L105" i="33"/>
  <c r="AC104" i="33"/>
  <c r="AA104" i="33"/>
  <c r="Z104" i="33"/>
  <c r="Y104" i="33"/>
  <c r="T104" i="33"/>
  <c r="S104" i="33"/>
  <c r="L104" i="33"/>
  <c r="C104" i="33"/>
  <c r="AC103" i="33"/>
  <c r="AA103" i="33"/>
  <c r="Z103" i="33"/>
  <c r="Y103" i="33"/>
  <c r="T103" i="33"/>
  <c r="S103" i="33"/>
  <c r="L103" i="33"/>
  <c r="C103" i="33"/>
  <c r="AC102" i="33"/>
  <c r="AA102" i="33"/>
  <c r="Z102" i="33"/>
  <c r="Y102" i="33"/>
  <c r="T102" i="33"/>
  <c r="S102" i="33"/>
  <c r="L102" i="33"/>
  <c r="C102" i="33"/>
  <c r="AC101" i="33"/>
  <c r="AA101" i="33"/>
  <c r="Z101" i="33"/>
  <c r="Y101" i="33"/>
  <c r="T101" i="33"/>
  <c r="S101" i="33"/>
  <c r="L101" i="33"/>
  <c r="C101" i="33"/>
  <c r="AC100" i="33"/>
  <c r="AA100" i="33"/>
  <c r="Z100" i="33"/>
  <c r="Y100" i="33"/>
  <c r="T100" i="33"/>
  <c r="S100" i="33"/>
  <c r="L100" i="33"/>
  <c r="C100" i="33"/>
  <c r="AC99" i="33"/>
  <c r="AA99" i="33"/>
  <c r="Z99" i="33"/>
  <c r="Y99" i="33"/>
  <c r="T99" i="33"/>
  <c r="S99" i="33"/>
  <c r="L99" i="33"/>
  <c r="C99" i="33"/>
  <c r="AC98" i="33"/>
  <c r="AA98" i="33"/>
  <c r="Z98" i="33"/>
  <c r="Y98" i="33"/>
  <c r="T98" i="33"/>
  <c r="S98" i="33"/>
  <c r="L98" i="33"/>
  <c r="C98" i="33"/>
  <c r="AC97" i="33"/>
  <c r="AA97" i="33"/>
  <c r="Z97" i="33"/>
  <c r="Y97" i="33"/>
  <c r="T97" i="33"/>
  <c r="S97" i="33"/>
  <c r="L97" i="33"/>
  <c r="C97" i="33"/>
  <c r="AC96" i="33"/>
  <c r="AA96" i="33"/>
  <c r="Z96" i="33"/>
  <c r="Y96" i="33"/>
  <c r="T96" i="33"/>
  <c r="S96" i="33"/>
  <c r="L96" i="33"/>
  <c r="C96" i="33"/>
  <c r="AC95" i="33"/>
  <c r="AA95" i="33"/>
  <c r="Z95" i="33"/>
  <c r="Y95" i="33"/>
  <c r="T95" i="33"/>
  <c r="S95" i="33"/>
  <c r="L95" i="33"/>
  <c r="C95" i="33"/>
  <c r="AC94" i="33"/>
  <c r="AA94" i="33"/>
  <c r="Z94" i="33"/>
  <c r="Y94" i="33"/>
  <c r="T94" i="33"/>
  <c r="S94" i="33"/>
  <c r="L94" i="33"/>
  <c r="C94" i="33"/>
  <c r="AC93" i="33"/>
  <c r="AA93" i="33"/>
  <c r="Z93" i="33"/>
  <c r="Y93" i="33"/>
  <c r="T93" i="33"/>
  <c r="S93" i="33"/>
  <c r="L93" i="33"/>
  <c r="C93" i="33"/>
  <c r="V89" i="33"/>
  <c r="R89" i="33"/>
  <c r="P89" i="33"/>
  <c r="G89" i="33"/>
  <c r="G105" i="33" s="1"/>
  <c r="G119" i="33" s="1"/>
  <c r="F89" i="33"/>
  <c r="F363" i="33" s="1"/>
  <c r="F377" i="33" s="1"/>
  <c r="V88" i="33"/>
  <c r="AA88" i="33" s="1"/>
  <c r="R88" i="33"/>
  <c r="P88" i="33"/>
  <c r="G88" i="33"/>
  <c r="F88" i="33"/>
  <c r="F362" i="33" s="1"/>
  <c r="F376" i="33" s="1"/>
  <c r="F390" i="33" s="1"/>
  <c r="C88" i="33"/>
  <c r="V87" i="33"/>
  <c r="AA87" i="33" s="1"/>
  <c r="R87" i="33"/>
  <c r="P87" i="33"/>
  <c r="G87" i="33"/>
  <c r="F87" i="33"/>
  <c r="F361" i="33" s="1"/>
  <c r="F375" i="33" s="1"/>
  <c r="F389" i="33" s="1"/>
  <c r="C87" i="33"/>
  <c r="V86" i="33"/>
  <c r="AA86" i="33" s="1"/>
  <c r="R86" i="33"/>
  <c r="P86" i="33"/>
  <c r="G86" i="33"/>
  <c r="F86" i="33"/>
  <c r="F360" i="33" s="1"/>
  <c r="F374" i="33" s="1"/>
  <c r="F388" i="33" s="1"/>
  <c r="C86" i="33"/>
  <c r="V85" i="33"/>
  <c r="AA85" i="33" s="1"/>
  <c r="R85" i="33"/>
  <c r="P85" i="33"/>
  <c r="G85" i="33"/>
  <c r="F85" i="33"/>
  <c r="F359" i="33" s="1"/>
  <c r="F373" i="33" s="1"/>
  <c r="F387" i="33" s="1"/>
  <c r="C85" i="33"/>
  <c r="V84" i="33"/>
  <c r="AA84" i="33" s="1"/>
  <c r="R84" i="33"/>
  <c r="P84" i="33"/>
  <c r="G84" i="33"/>
  <c r="F84" i="33"/>
  <c r="F358" i="33" s="1"/>
  <c r="F372" i="33" s="1"/>
  <c r="F386" i="33" s="1"/>
  <c r="C84" i="33"/>
  <c r="V83" i="33"/>
  <c r="AA83" i="33" s="1"/>
  <c r="R83" i="33"/>
  <c r="P83" i="33"/>
  <c r="G83" i="33"/>
  <c r="F83" i="33"/>
  <c r="F357" i="33" s="1"/>
  <c r="F371" i="33" s="1"/>
  <c r="F385" i="33" s="1"/>
  <c r="C83" i="33"/>
  <c r="V82" i="33"/>
  <c r="AA82" i="33" s="1"/>
  <c r="R82" i="33"/>
  <c r="P82" i="33"/>
  <c r="G82" i="33"/>
  <c r="F82" i="33"/>
  <c r="F356" i="33" s="1"/>
  <c r="F370" i="33" s="1"/>
  <c r="F384" i="33" s="1"/>
  <c r="C82" i="33"/>
  <c r="V81" i="33"/>
  <c r="AA81" i="33" s="1"/>
  <c r="R81" i="33"/>
  <c r="P81" i="33"/>
  <c r="G81" i="33"/>
  <c r="F81" i="33"/>
  <c r="F355" i="33" s="1"/>
  <c r="F369" i="33" s="1"/>
  <c r="F383" i="33" s="1"/>
  <c r="C81" i="33"/>
  <c r="V80" i="33"/>
  <c r="AA80" i="33" s="1"/>
  <c r="R80" i="33"/>
  <c r="P80" i="33"/>
  <c r="G80" i="33"/>
  <c r="F80" i="33"/>
  <c r="F354" i="33" s="1"/>
  <c r="F368" i="33" s="1"/>
  <c r="F382" i="33" s="1"/>
  <c r="C80" i="33"/>
  <c r="V79" i="33"/>
  <c r="AA79" i="33" s="1"/>
  <c r="R79" i="33"/>
  <c r="P79" i="33"/>
  <c r="G79" i="33"/>
  <c r="F79" i="33"/>
  <c r="F353" i="33" s="1"/>
  <c r="F367" i="33" s="1"/>
  <c r="F381" i="33" s="1"/>
  <c r="C79" i="33"/>
  <c r="V78" i="33"/>
  <c r="AA78" i="33" s="1"/>
  <c r="R78" i="33"/>
  <c r="P78" i="33"/>
  <c r="G78" i="33"/>
  <c r="F78" i="33"/>
  <c r="F352" i="33" s="1"/>
  <c r="F366" i="33" s="1"/>
  <c r="F380" i="33" s="1"/>
  <c r="C78" i="33"/>
  <c r="V77" i="33"/>
  <c r="R77" i="33"/>
  <c r="P77" i="33"/>
  <c r="G77" i="33"/>
  <c r="F77" i="33"/>
  <c r="C77" i="33"/>
  <c r="AC47" i="33"/>
  <c r="AC61" i="33" s="1"/>
  <c r="AC48" i="33" s="1"/>
  <c r="AC9" i="24" s="1"/>
  <c r="AB47" i="33"/>
  <c r="AB61" i="33" s="1"/>
  <c r="AB48" i="33" s="1"/>
  <c r="AB9" i="24" s="1"/>
  <c r="Z47" i="33"/>
  <c r="Z61" i="33" s="1"/>
  <c r="Z48" i="33" s="1"/>
  <c r="Z9" i="24" s="1"/>
  <c r="Y47" i="33"/>
  <c r="Y61" i="33" s="1"/>
  <c r="Y48" i="33" s="1"/>
  <c r="Y9" i="24" s="1"/>
  <c r="V47" i="33"/>
  <c r="V61" i="33" s="1"/>
  <c r="T47" i="33"/>
  <c r="T61" i="33" s="1"/>
  <c r="T48" i="33" s="1"/>
  <c r="T9" i="24" s="1"/>
  <c r="S47" i="33"/>
  <c r="S61" i="33" s="1"/>
  <c r="S48" i="33" s="1"/>
  <c r="S9" i="24" s="1"/>
  <c r="P47" i="33"/>
  <c r="P61" i="33" s="1"/>
  <c r="D47" i="33"/>
  <c r="D61" i="33" s="1"/>
  <c r="D48" i="33" s="1"/>
  <c r="D9" i="24" s="1"/>
  <c r="AC46" i="33"/>
  <c r="AC60" i="33" s="1"/>
  <c r="AB46" i="33"/>
  <c r="AB60" i="33" s="1"/>
  <c r="Z46" i="33"/>
  <c r="Z60" i="33" s="1"/>
  <c r="Y46" i="33"/>
  <c r="Y60" i="33" s="1"/>
  <c r="V46" i="33"/>
  <c r="T46" i="33"/>
  <c r="T60" i="33" s="1"/>
  <c r="S46" i="33"/>
  <c r="S60" i="33" s="1"/>
  <c r="P46" i="33"/>
  <c r="P60" i="33" s="1"/>
  <c r="D46" i="33"/>
  <c r="C46" i="33"/>
  <c r="AC45" i="33"/>
  <c r="AC59" i="33" s="1"/>
  <c r="AB45" i="33"/>
  <c r="AB59" i="33" s="1"/>
  <c r="Z45" i="33"/>
  <c r="Z59" i="33" s="1"/>
  <c r="Y45" i="33"/>
  <c r="Y59" i="33" s="1"/>
  <c r="V45" i="33"/>
  <c r="T45" i="33"/>
  <c r="T59" i="33" s="1"/>
  <c r="S45" i="33"/>
  <c r="S59" i="33" s="1"/>
  <c r="P45" i="33"/>
  <c r="P59" i="33" s="1"/>
  <c r="D45" i="33"/>
  <c r="C45" i="33"/>
  <c r="AC44" i="33"/>
  <c r="AC58" i="33" s="1"/>
  <c r="AB44" i="33"/>
  <c r="AB58" i="33" s="1"/>
  <c r="Z44" i="33"/>
  <c r="Z58" i="33" s="1"/>
  <c r="Y44" i="33"/>
  <c r="Y58" i="33" s="1"/>
  <c r="V44" i="33"/>
  <c r="T44" i="33"/>
  <c r="T58" i="33" s="1"/>
  <c r="S44" i="33"/>
  <c r="S58" i="33" s="1"/>
  <c r="P44" i="33"/>
  <c r="P58" i="33" s="1"/>
  <c r="D44" i="33"/>
  <c r="C44" i="33"/>
  <c r="AC43" i="33"/>
  <c r="AC57" i="33" s="1"/>
  <c r="AB43" i="33"/>
  <c r="AB57" i="33" s="1"/>
  <c r="Z43" i="33"/>
  <c r="Z57" i="33" s="1"/>
  <c r="Y43" i="33"/>
  <c r="Y57" i="33" s="1"/>
  <c r="V43" i="33"/>
  <c r="T43" i="33"/>
  <c r="T57" i="33" s="1"/>
  <c r="S43" i="33"/>
  <c r="S57" i="33" s="1"/>
  <c r="P43" i="33"/>
  <c r="P57" i="33" s="1"/>
  <c r="D43" i="33"/>
  <c r="C43" i="33"/>
  <c r="AC42" i="33"/>
  <c r="AC56" i="33" s="1"/>
  <c r="AB42" i="33"/>
  <c r="AB56" i="33" s="1"/>
  <c r="Z42" i="33"/>
  <c r="Z56" i="33" s="1"/>
  <c r="Y42" i="33"/>
  <c r="Y56" i="33" s="1"/>
  <c r="V42" i="33"/>
  <c r="T42" i="33"/>
  <c r="T56" i="33" s="1"/>
  <c r="S42" i="33"/>
  <c r="S56" i="33" s="1"/>
  <c r="P42" i="33"/>
  <c r="P56" i="33" s="1"/>
  <c r="D42" i="33"/>
  <c r="C42" i="33"/>
  <c r="AC41" i="33"/>
  <c r="AC55" i="33" s="1"/>
  <c r="AB41" i="33"/>
  <c r="AB55" i="33" s="1"/>
  <c r="Z41" i="33"/>
  <c r="Z55" i="33" s="1"/>
  <c r="Y41" i="33"/>
  <c r="Y55" i="33" s="1"/>
  <c r="V41" i="33"/>
  <c r="T41" i="33"/>
  <c r="T55" i="33" s="1"/>
  <c r="S41" i="33"/>
  <c r="S55" i="33" s="1"/>
  <c r="P41" i="33"/>
  <c r="P55" i="33" s="1"/>
  <c r="D41" i="33"/>
  <c r="C41" i="33"/>
  <c r="AC40" i="33"/>
  <c r="AC54" i="33" s="1"/>
  <c r="AB40" i="33"/>
  <c r="AB54" i="33" s="1"/>
  <c r="Z40" i="33"/>
  <c r="Z54" i="33" s="1"/>
  <c r="Y40" i="33"/>
  <c r="Y54" i="33" s="1"/>
  <c r="V40" i="33"/>
  <c r="T40" i="33"/>
  <c r="T54" i="33" s="1"/>
  <c r="S40" i="33"/>
  <c r="S54" i="33" s="1"/>
  <c r="P40" i="33"/>
  <c r="P54" i="33" s="1"/>
  <c r="D40" i="33"/>
  <c r="C40" i="33"/>
  <c r="AC39" i="33"/>
  <c r="AC53" i="33" s="1"/>
  <c r="AB39" i="33"/>
  <c r="AB53" i="33" s="1"/>
  <c r="Z39" i="33"/>
  <c r="Z53" i="33" s="1"/>
  <c r="Y39" i="33"/>
  <c r="Y53" i="33" s="1"/>
  <c r="V39" i="33"/>
  <c r="T39" i="33"/>
  <c r="T53" i="33" s="1"/>
  <c r="S39" i="33"/>
  <c r="S53" i="33" s="1"/>
  <c r="P39" i="33"/>
  <c r="P53" i="33" s="1"/>
  <c r="D39" i="33"/>
  <c r="C39" i="33"/>
  <c r="AC38" i="33"/>
  <c r="AC52" i="33" s="1"/>
  <c r="AB38" i="33"/>
  <c r="AB52" i="33" s="1"/>
  <c r="Z38" i="33"/>
  <c r="Z52" i="33" s="1"/>
  <c r="Y38" i="33"/>
  <c r="Y52" i="33" s="1"/>
  <c r="V38" i="33"/>
  <c r="T38" i="33"/>
  <c r="T52" i="33" s="1"/>
  <c r="S38" i="33"/>
  <c r="S52" i="33" s="1"/>
  <c r="P38" i="33"/>
  <c r="P52" i="33" s="1"/>
  <c r="D38" i="33"/>
  <c r="C38" i="33"/>
  <c r="AC37" i="33"/>
  <c r="AC51" i="33" s="1"/>
  <c r="AB37" i="33"/>
  <c r="AB51" i="33" s="1"/>
  <c r="Z37" i="33"/>
  <c r="Z51" i="33" s="1"/>
  <c r="Y37" i="33"/>
  <c r="Y51" i="33" s="1"/>
  <c r="V37" i="33"/>
  <c r="T37" i="33"/>
  <c r="T51" i="33" s="1"/>
  <c r="S37" i="33"/>
  <c r="S51" i="33" s="1"/>
  <c r="P37" i="33"/>
  <c r="P51" i="33" s="1"/>
  <c r="D37" i="33"/>
  <c r="C37" i="33"/>
  <c r="AC36" i="33"/>
  <c r="AC50" i="33" s="1"/>
  <c r="AB36" i="33"/>
  <c r="AB50" i="33" s="1"/>
  <c r="Z36" i="33"/>
  <c r="Z50" i="33" s="1"/>
  <c r="Y36" i="33"/>
  <c r="Y50" i="33" s="1"/>
  <c r="V36" i="33"/>
  <c r="T36" i="33"/>
  <c r="T50" i="33" s="1"/>
  <c r="S36" i="33"/>
  <c r="S50" i="33" s="1"/>
  <c r="P36" i="33"/>
  <c r="P50" i="33" s="1"/>
  <c r="D36" i="33"/>
  <c r="C36" i="33"/>
  <c r="AC35" i="33"/>
  <c r="AC49" i="33" s="1"/>
  <c r="AB35" i="33"/>
  <c r="AB49" i="33" s="1"/>
  <c r="Z35" i="33"/>
  <c r="Z49" i="33" s="1"/>
  <c r="Y35" i="33"/>
  <c r="Y49" i="33" s="1"/>
  <c r="V35" i="33"/>
  <c r="V49" i="33" s="1"/>
  <c r="T35" i="33"/>
  <c r="T49" i="33" s="1"/>
  <c r="S35" i="33"/>
  <c r="S49" i="33" s="1"/>
  <c r="P35" i="33"/>
  <c r="P49" i="33" s="1"/>
  <c r="D35" i="33"/>
  <c r="C35" i="33"/>
  <c r="AA33" i="33"/>
  <c r="AA75" i="33" s="1"/>
  <c r="AA62" i="33" s="1"/>
  <c r="AA10" i="24" s="1"/>
  <c r="G33" i="33"/>
  <c r="G75" i="33" s="1"/>
  <c r="G62" i="33" s="1"/>
  <c r="G10" i="24" s="1"/>
  <c r="AA32" i="33"/>
  <c r="AA74" i="33" s="1"/>
  <c r="R32" i="33"/>
  <c r="G32" i="33"/>
  <c r="G74" i="33" s="1"/>
  <c r="C32" i="33"/>
  <c r="AA31" i="33"/>
  <c r="AA73" i="33" s="1"/>
  <c r="R31" i="33"/>
  <c r="G31" i="33"/>
  <c r="G73" i="33" s="1"/>
  <c r="C31" i="33"/>
  <c r="AA30" i="33"/>
  <c r="AA72" i="33" s="1"/>
  <c r="R30" i="33"/>
  <c r="G30" i="33"/>
  <c r="G72" i="33" s="1"/>
  <c r="C30" i="33"/>
  <c r="AA29" i="33"/>
  <c r="AA71" i="33" s="1"/>
  <c r="R29" i="33"/>
  <c r="G29" i="33"/>
  <c r="G71" i="33" s="1"/>
  <c r="C29" i="33"/>
  <c r="AA28" i="33"/>
  <c r="AA70" i="33" s="1"/>
  <c r="R28" i="33"/>
  <c r="G28" i="33"/>
  <c r="G70" i="33" s="1"/>
  <c r="C28" i="33"/>
  <c r="AA27" i="33"/>
  <c r="AA69" i="33" s="1"/>
  <c r="R27" i="33"/>
  <c r="G27" i="33"/>
  <c r="G69" i="33" s="1"/>
  <c r="C27" i="33"/>
  <c r="AA26" i="33"/>
  <c r="AA68" i="33" s="1"/>
  <c r="R26" i="33"/>
  <c r="G26" i="33"/>
  <c r="G68" i="33" s="1"/>
  <c r="C26" i="33"/>
  <c r="AA25" i="33"/>
  <c r="AA67" i="33" s="1"/>
  <c r="R25" i="33"/>
  <c r="G25" i="33"/>
  <c r="G67" i="33" s="1"/>
  <c r="C25" i="33"/>
  <c r="AA24" i="33"/>
  <c r="AA66" i="33" s="1"/>
  <c r="R24" i="33"/>
  <c r="G24" i="33"/>
  <c r="G66" i="33" s="1"/>
  <c r="C24" i="33"/>
  <c r="AA23" i="33"/>
  <c r="AA65" i="33" s="1"/>
  <c r="R23" i="33"/>
  <c r="G23" i="33"/>
  <c r="G65" i="33" s="1"/>
  <c r="C23" i="33"/>
  <c r="AA22" i="33"/>
  <c r="AA64" i="33" s="1"/>
  <c r="R22" i="33"/>
  <c r="G22" i="33"/>
  <c r="G64" i="33" s="1"/>
  <c r="C22" i="33"/>
  <c r="AA21" i="33"/>
  <c r="AA63" i="33" s="1"/>
  <c r="R21" i="33"/>
  <c r="G21" i="33"/>
  <c r="G63" i="33" s="1"/>
  <c r="C21" i="33"/>
  <c r="AB19" i="33"/>
  <c r="Z19" i="33"/>
  <c r="Y19" i="33"/>
  <c r="X19" i="33"/>
  <c r="X105" i="33" s="1"/>
  <c r="W19" i="33"/>
  <c r="W119" i="33" s="1"/>
  <c r="U19" i="33"/>
  <c r="T19" i="33"/>
  <c r="S19" i="33"/>
  <c r="Q19" i="33"/>
  <c r="Q105" i="33" s="1"/>
  <c r="Q119" i="33" s="1"/>
  <c r="Q147" i="33" s="1"/>
  <c r="Q134" i="33" s="1"/>
  <c r="Q17" i="24" s="1"/>
  <c r="AB18" i="33"/>
  <c r="AA18" i="33"/>
  <c r="Z18" i="33"/>
  <c r="Y18" i="33"/>
  <c r="X18" i="33"/>
  <c r="X104" i="33" s="1"/>
  <c r="W18" i="33"/>
  <c r="U18" i="33"/>
  <c r="AC18" i="33" s="1"/>
  <c r="T18" i="33"/>
  <c r="S18" i="33"/>
  <c r="Q18" i="33"/>
  <c r="C18" i="33"/>
  <c r="AB17" i="33"/>
  <c r="AA17" i="33"/>
  <c r="Z17" i="33"/>
  <c r="Y17" i="33"/>
  <c r="X17" i="33"/>
  <c r="X103" i="33" s="1"/>
  <c r="W17" i="33"/>
  <c r="U17" i="33"/>
  <c r="AC17" i="33" s="1"/>
  <c r="T17" i="33"/>
  <c r="S17" i="33"/>
  <c r="Q17" i="33"/>
  <c r="C17" i="33"/>
  <c r="AB16" i="33"/>
  <c r="AA16" i="33"/>
  <c r="Z16" i="33"/>
  <c r="Y16" i="33"/>
  <c r="X16" i="33"/>
  <c r="X102" i="33" s="1"/>
  <c r="W16" i="33"/>
  <c r="U16" i="33"/>
  <c r="AC16" i="33" s="1"/>
  <c r="T16" i="33"/>
  <c r="S16" i="33"/>
  <c r="Q16" i="33"/>
  <c r="Q102" i="33" s="1"/>
  <c r="Q116" i="33" s="1"/>
  <c r="C16" i="33"/>
  <c r="AB15" i="33"/>
  <c r="AA15" i="33"/>
  <c r="Z15" i="33"/>
  <c r="Y15" i="33"/>
  <c r="X15" i="33"/>
  <c r="X101" i="33" s="1"/>
  <c r="W15" i="33"/>
  <c r="U15" i="33"/>
  <c r="AC15" i="33" s="1"/>
  <c r="T15" i="33"/>
  <c r="S15" i="33"/>
  <c r="Q15" i="33"/>
  <c r="C15" i="33"/>
  <c r="AB14" i="33"/>
  <c r="AA14" i="33"/>
  <c r="Z14" i="33"/>
  <c r="Y14" i="33"/>
  <c r="X14" i="33"/>
  <c r="X100" i="33" s="1"/>
  <c r="W14" i="33"/>
  <c r="U14" i="33"/>
  <c r="AC14" i="33" s="1"/>
  <c r="T14" i="33"/>
  <c r="S14" i="33"/>
  <c r="Q14" i="33"/>
  <c r="Q100" i="33" s="1"/>
  <c r="C14" i="33"/>
  <c r="AB13" i="33"/>
  <c r="AA13" i="33"/>
  <c r="Z13" i="33"/>
  <c r="Y13" i="33"/>
  <c r="X13" i="33"/>
  <c r="X99" i="33" s="1"/>
  <c r="W13" i="33"/>
  <c r="U13" i="33"/>
  <c r="AC13" i="33" s="1"/>
  <c r="T13" i="33"/>
  <c r="S13" i="33"/>
  <c r="Q13" i="33"/>
  <c r="C13" i="33"/>
  <c r="AB12" i="33"/>
  <c r="AA12" i="33"/>
  <c r="Z12" i="33"/>
  <c r="Y12" i="33"/>
  <c r="X12" i="33"/>
  <c r="X98" i="33" s="1"/>
  <c r="W12" i="33"/>
  <c r="U12" i="33"/>
  <c r="AC12" i="33" s="1"/>
  <c r="T12" i="33"/>
  <c r="S12" i="33"/>
  <c r="Q12" i="33"/>
  <c r="Q98" i="33" s="1"/>
  <c r="Q112" i="33" s="1"/>
  <c r="C12" i="33"/>
  <c r="AB11" i="33"/>
  <c r="AA11" i="33"/>
  <c r="Z11" i="33"/>
  <c r="Y11" i="33"/>
  <c r="X11" i="33"/>
  <c r="X97" i="33" s="1"/>
  <c r="W11" i="33"/>
  <c r="U11" i="33"/>
  <c r="AC11" i="33" s="1"/>
  <c r="T11" i="33"/>
  <c r="S11" i="33"/>
  <c r="Q11" i="33"/>
  <c r="C11" i="33"/>
  <c r="AB10" i="33"/>
  <c r="AA10" i="33"/>
  <c r="Z10" i="33"/>
  <c r="Y10" i="33"/>
  <c r="X10" i="33"/>
  <c r="X96" i="33" s="1"/>
  <c r="W10" i="33"/>
  <c r="U10" i="33"/>
  <c r="AC10" i="33" s="1"/>
  <c r="T10" i="33"/>
  <c r="S10" i="33"/>
  <c r="Q10" i="33"/>
  <c r="C10" i="33"/>
  <c r="AB9" i="33"/>
  <c r="AA9" i="33"/>
  <c r="Z9" i="33"/>
  <c r="Y9" i="33"/>
  <c r="X9" i="33"/>
  <c r="X95" i="33" s="1"/>
  <c r="W9" i="33"/>
  <c r="U9" i="33"/>
  <c r="AC9" i="33" s="1"/>
  <c r="T9" i="33"/>
  <c r="S9" i="33"/>
  <c r="Q9" i="33"/>
  <c r="Q95" i="33" s="1"/>
  <c r="C9" i="33"/>
  <c r="AB8" i="33"/>
  <c r="AA8" i="33"/>
  <c r="Z8" i="33"/>
  <c r="Y8" i="33"/>
  <c r="X8" i="33"/>
  <c r="X94" i="33" s="1"/>
  <c r="W8" i="33"/>
  <c r="U8" i="33"/>
  <c r="AC8" i="33" s="1"/>
  <c r="T8" i="33"/>
  <c r="S8" i="33"/>
  <c r="Q8" i="33"/>
  <c r="C8" i="33"/>
  <c r="AB7" i="33"/>
  <c r="AA7" i="33"/>
  <c r="Z7" i="33"/>
  <c r="Y7" i="33"/>
  <c r="X7" i="33"/>
  <c r="W7" i="33"/>
  <c r="U7" i="33"/>
  <c r="T7" i="33"/>
  <c r="S7" i="33"/>
  <c r="Q7" i="33"/>
  <c r="C7" i="33"/>
  <c r="AC38" i="24" l="1"/>
  <c r="AA38" i="24"/>
  <c r="F391" i="33"/>
  <c r="F378" i="33" s="1"/>
  <c r="F40" i="24" s="1"/>
  <c r="F364" i="33"/>
  <c r="F39" i="24" s="1"/>
  <c r="R64" i="33"/>
  <c r="R66" i="33"/>
  <c r="R70" i="33"/>
  <c r="R74" i="33"/>
  <c r="R63" i="33"/>
  <c r="R65" i="33"/>
  <c r="R67" i="33"/>
  <c r="R69" i="33"/>
  <c r="R71" i="33"/>
  <c r="R73" i="33"/>
  <c r="R68" i="33"/>
  <c r="R72" i="33"/>
  <c r="R306" i="33"/>
  <c r="R33" i="24" s="1"/>
  <c r="AA131" i="33"/>
  <c r="V159" i="33"/>
  <c r="AA159" i="33" s="1"/>
  <c r="AA128" i="33"/>
  <c r="V156" i="33"/>
  <c r="AA156" i="33" s="1"/>
  <c r="AA161" i="33"/>
  <c r="AA148" i="33" s="1"/>
  <c r="AA18" i="24" s="1"/>
  <c r="AA125" i="33"/>
  <c r="V153" i="33"/>
  <c r="AA153" i="33" s="1"/>
  <c r="AA124" i="33"/>
  <c r="V152" i="33"/>
  <c r="AA152" i="33" s="1"/>
  <c r="AA132" i="33"/>
  <c r="V160" i="33"/>
  <c r="AA160" i="33" s="1"/>
  <c r="AA127" i="33"/>
  <c r="V155" i="33"/>
  <c r="AA155" i="33" s="1"/>
  <c r="AA121" i="33"/>
  <c r="V149" i="33"/>
  <c r="AA149" i="33" s="1"/>
  <c r="AA129" i="33"/>
  <c r="V157" i="33"/>
  <c r="AA157" i="33" s="1"/>
  <c r="AA123" i="33"/>
  <c r="V151" i="33"/>
  <c r="AA151" i="33" s="1"/>
  <c r="AA122" i="33"/>
  <c r="V150" i="33"/>
  <c r="AA150" i="33" s="1"/>
  <c r="AA130" i="33"/>
  <c r="V158" i="33"/>
  <c r="AA158" i="33" s="1"/>
  <c r="AA126" i="33"/>
  <c r="V154" i="33"/>
  <c r="AA154" i="33" s="1"/>
  <c r="Z138" i="33"/>
  <c r="T138" i="33"/>
  <c r="T144" i="33"/>
  <c r="Z144" i="33"/>
  <c r="AA110" i="33"/>
  <c r="V138" i="33"/>
  <c r="AA138" i="33" s="1"/>
  <c r="V182" i="33"/>
  <c r="AA182" i="33" s="1"/>
  <c r="V140" i="33"/>
  <c r="AA140" i="33" s="1"/>
  <c r="AA114" i="33"/>
  <c r="V142" i="33"/>
  <c r="AA142" i="33" s="1"/>
  <c r="V188" i="33"/>
  <c r="AA188" i="33" s="1"/>
  <c r="V146" i="33"/>
  <c r="AA146" i="33" s="1"/>
  <c r="Q186" i="33"/>
  <c r="Q144" i="33"/>
  <c r="P179" i="33"/>
  <c r="P137" i="33"/>
  <c r="P187" i="33"/>
  <c r="P145" i="33"/>
  <c r="T139" i="33"/>
  <c r="Z139" i="33"/>
  <c r="L201" i="33"/>
  <c r="L215" i="33" s="1"/>
  <c r="L229" i="33" s="1"/>
  <c r="Z143" i="33"/>
  <c r="T143" i="33"/>
  <c r="V179" i="33"/>
  <c r="AA179" i="33" s="1"/>
  <c r="V137" i="33"/>
  <c r="AA137" i="33" s="1"/>
  <c r="T136" i="33"/>
  <c r="Z136" i="33"/>
  <c r="Z140" i="33"/>
  <c r="T140" i="33"/>
  <c r="T146" i="33"/>
  <c r="Z146" i="33"/>
  <c r="P177" i="33"/>
  <c r="P135" i="33"/>
  <c r="P183" i="33"/>
  <c r="P141" i="33"/>
  <c r="Z137" i="33"/>
  <c r="T137" i="33"/>
  <c r="Q182" i="33"/>
  <c r="Q140" i="33"/>
  <c r="Z142" i="33"/>
  <c r="T142" i="33"/>
  <c r="P181" i="33"/>
  <c r="P139" i="33"/>
  <c r="P185" i="33"/>
  <c r="P143" i="33"/>
  <c r="Z135" i="33"/>
  <c r="T135" i="33"/>
  <c r="T141" i="33"/>
  <c r="Z141" i="33"/>
  <c r="L203" i="33"/>
  <c r="L217" i="33" s="1"/>
  <c r="L231" i="33" s="1"/>
  <c r="Z145" i="33"/>
  <c r="T145" i="33"/>
  <c r="P178" i="33"/>
  <c r="P136" i="33"/>
  <c r="P180" i="33"/>
  <c r="P138" i="33"/>
  <c r="P182" i="33"/>
  <c r="P140" i="33"/>
  <c r="P184" i="33"/>
  <c r="P142" i="33"/>
  <c r="P186" i="33"/>
  <c r="P144" i="33"/>
  <c r="P188" i="33"/>
  <c r="P146" i="33"/>
  <c r="V48" i="33"/>
  <c r="V9" i="24" s="1"/>
  <c r="P48" i="33"/>
  <c r="P9" i="24" s="1"/>
  <c r="G37" i="33"/>
  <c r="G51" i="33" s="1"/>
  <c r="D51" i="33"/>
  <c r="AA39" i="33"/>
  <c r="AA53" i="33" s="1"/>
  <c r="V53" i="33"/>
  <c r="G41" i="33"/>
  <c r="X41" i="33" s="1"/>
  <c r="X55" i="33" s="1"/>
  <c r="D55" i="33"/>
  <c r="AA43" i="33"/>
  <c r="AA57" i="33" s="1"/>
  <c r="V57" i="33"/>
  <c r="G45" i="33"/>
  <c r="G59" i="33" s="1"/>
  <c r="D59" i="33"/>
  <c r="G36" i="33"/>
  <c r="X36" i="33" s="1"/>
  <c r="X50" i="33" s="1"/>
  <c r="D50" i="33"/>
  <c r="AA38" i="33"/>
  <c r="AA52" i="33" s="1"/>
  <c r="V52" i="33"/>
  <c r="G38" i="33"/>
  <c r="U80" i="33" s="1"/>
  <c r="D52" i="33"/>
  <c r="G46" i="33"/>
  <c r="G60" i="33" s="1"/>
  <c r="D60" i="33"/>
  <c r="G2" i="24"/>
  <c r="G40" i="33"/>
  <c r="N40" i="33" s="1"/>
  <c r="N54" i="33" s="1"/>
  <c r="D54" i="33"/>
  <c r="AA42" i="33"/>
  <c r="AA56" i="33" s="1"/>
  <c r="V56" i="33"/>
  <c r="R2" i="24"/>
  <c r="AA36" i="33"/>
  <c r="AA50" i="33" s="1"/>
  <c r="V50" i="33"/>
  <c r="AA40" i="33"/>
  <c r="AA54" i="33" s="1"/>
  <c r="V54" i="33"/>
  <c r="G42" i="33"/>
  <c r="G56" i="33" s="1"/>
  <c r="D56" i="33"/>
  <c r="AA44" i="33"/>
  <c r="AA58" i="33" s="1"/>
  <c r="V58" i="33"/>
  <c r="G35" i="33"/>
  <c r="G49" i="33" s="1"/>
  <c r="D49" i="33"/>
  <c r="AA37" i="33"/>
  <c r="AA51" i="33" s="1"/>
  <c r="V51" i="33"/>
  <c r="G39" i="33"/>
  <c r="X39" i="33" s="1"/>
  <c r="X53" i="33" s="1"/>
  <c r="D53" i="33"/>
  <c r="AA41" i="33"/>
  <c r="AA55" i="33" s="1"/>
  <c r="V55" i="33"/>
  <c r="G43" i="33"/>
  <c r="W43" i="33" s="1"/>
  <c r="W257" i="33" s="1"/>
  <c r="D57" i="33"/>
  <c r="AA45" i="33"/>
  <c r="AA59" i="33" s="1"/>
  <c r="V59" i="33"/>
  <c r="P2" i="24"/>
  <c r="G44" i="33"/>
  <c r="G58" i="33" s="1"/>
  <c r="D58" i="33"/>
  <c r="AA46" i="33"/>
  <c r="AA60" i="33" s="1"/>
  <c r="V60" i="33"/>
  <c r="V2" i="24"/>
  <c r="Q2" i="24"/>
  <c r="AB22" i="33"/>
  <c r="AB64" i="33" s="1"/>
  <c r="AC26" i="33"/>
  <c r="AC68" i="33" s="1"/>
  <c r="X32" i="33"/>
  <c r="X74" i="33" s="1"/>
  <c r="T22" i="33"/>
  <c r="T64" i="33" s="1"/>
  <c r="Y26" i="33"/>
  <c r="Y68" i="33" s="1"/>
  <c r="Y28" i="33"/>
  <c r="Y70" i="33" s="1"/>
  <c r="Y30" i="33"/>
  <c r="Y72" i="33" s="1"/>
  <c r="Z25" i="33"/>
  <c r="Z67" i="33" s="1"/>
  <c r="T27" i="33"/>
  <c r="T69" i="33" s="1"/>
  <c r="Z29" i="33"/>
  <c r="Z71" i="33" s="1"/>
  <c r="S31" i="33"/>
  <c r="S73" i="33" s="1"/>
  <c r="U27" i="33"/>
  <c r="U69" i="33" s="1"/>
  <c r="X31" i="33"/>
  <c r="X73" i="33" s="1"/>
  <c r="Q25" i="33"/>
  <c r="Q67" i="33" s="1"/>
  <c r="X29" i="33"/>
  <c r="X71" i="33" s="1"/>
  <c r="U119" i="33"/>
  <c r="X119" i="33"/>
  <c r="AB119" i="33"/>
  <c r="L363" i="33"/>
  <c r="L119" i="33"/>
  <c r="F351" i="33"/>
  <c r="X21" i="33"/>
  <c r="X63" i="33" s="1"/>
  <c r="AA35" i="33"/>
  <c r="AA49" i="33" s="1"/>
  <c r="Z77" i="33"/>
  <c r="AA77" i="33"/>
  <c r="AC7" i="33"/>
  <c r="X93" i="33"/>
  <c r="F394" i="33"/>
  <c r="F408" i="33"/>
  <c r="F402" i="33"/>
  <c r="F416" i="33"/>
  <c r="Q38" i="33"/>
  <c r="Q52" i="33" s="1"/>
  <c r="Q96" i="33"/>
  <c r="Q166" i="33" s="1"/>
  <c r="W342" i="33"/>
  <c r="W128" i="33"/>
  <c r="W358" i="33"/>
  <c r="W372" i="33" s="1"/>
  <c r="W386" i="33" s="1"/>
  <c r="W170" i="33"/>
  <c r="W114" i="33"/>
  <c r="W284" i="33"/>
  <c r="W100" i="33"/>
  <c r="W200" i="33"/>
  <c r="W300" i="33"/>
  <c r="W314" i="33" s="1"/>
  <c r="W270" i="33"/>
  <c r="W214" i="33"/>
  <c r="W184" i="33"/>
  <c r="W414" i="33"/>
  <c r="W228" i="33"/>
  <c r="W430" i="33"/>
  <c r="W400" i="33"/>
  <c r="Q88" i="33"/>
  <c r="Q104" i="33"/>
  <c r="Q174" i="33" s="1"/>
  <c r="G424" i="33"/>
  <c r="G294" i="33"/>
  <c r="G308" i="33" s="1"/>
  <c r="G322" i="33" s="1"/>
  <c r="G94" i="33"/>
  <c r="G352" i="33"/>
  <c r="G366" i="33" s="1"/>
  <c r="G380" i="33" s="1"/>
  <c r="G194" i="33"/>
  <c r="G356" i="33"/>
  <c r="G370" i="33" s="1"/>
  <c r="G384" i="33" s="1"/>
  <c r="G198" i="33"/>
  <c r="G428" i="33"/>
  <c r="G298" i="33"/>
  <c r="G312" i="33" s="1"/>
  <c r="G326" i="33" s="1"/>
  <c r="G98" i="33"/>
  <c r="W433" i="33"/>
  <c r="W345" i="33"/>
  <c r="W231" i="33"/>
  <c r="W173" i="33"/>
  <c r="W403" i="33"/>
  <c r="W287" i="33"/>
  <c r="W203" i="33"/>
  <c r="W117" i="33"/>
  <c r="W417" i="33"/>
  <c r="W361" i="33"/>
  <c r="W375" i="33" s="1"/>
  <c r="W389" i="33" s="1"/>
  <c r="W303" i="33"/>
  <c r="W317" i="33" s="1"/>
  <c r="W273" i="33"/>
  <c r="W217" i="33"/>
  <c r="W187" i="33"/>
  <c r="W131" i="33"/>
  <c r="W103" i="33"/>
  <c r="W431" i="33"/>
  <c r="W401" i="33"/>
  <c r="W343" i="33"/>
  <c r="W285" i="33"/>
  <c r="W229" i="33"/>
  <c r="W201" i="33"/>
  <c r="W171" i="33"/>
  <c r="W115" i="33"/>
  <c r="W185" i="33"/>
  <c r="W301" i="33"/>
  <c r="W315" i="33" s="1"/>
  <c r="W271" i="33"/>
  <c r="W215" i="33"/>
  <c r="W129" i="33"/>
  <c r="W101" i="33"/>
  <c r="W415" i="33"/>
  <c r="W359" i="33"/>
  <c r="W373" i="33" s="1"/>
  <c r="W387" i="33" s="1"/>
  <c r="F414" i="33"/>
  <c r="F400" i="33"/>
  <c r="F3" i="35"/>
  <c r="W224" i="33"/>
  <c r="W96" i="33"/>
  <c r="W266" i="33"/>
  <c r="W410" i="33"/>
  <c r="W196" i="33"/>
  <c r="W296" i="33"/>
  <c r="W310" i="33" s="1"/>
  <c r="W110" i="33"/>
  <c r="W426" i="33"/>
  <c r="W338" i="33"/>
  <c r="W280" i="33"/>
  <c r="W354" i="33"/>
  <c r="W368" i="33" s="1"/>
  <c r="W382" i="33" s="1"/>
  <c r="W166" i="33"/>
  <c r="W396" i="33"/>
  <c r="W210" i="33"/>
  <c r="W180" i="33"/>
  <c r="W124" i="33"/>
  <c r="W404" i="33"/>
  <c r="W218" i="33"/>
  <c r="W232" i="33"/>
  <c r="W104" i="33"/>
  <c r="W418" i="33"/>
  <c r="W346" i="33"/>
  <c r="W188" i="33"/>
  <c r="W204" i="33"/>
  <c r="W362" i="33"/>
  <c r="W376" i="33" s="1"/>
  <c r="W390" i="33" s="1"/>
  <c r="W118" i="33"/>
  <c r="W434" i="33"/>
  <c r="W288" i="33"/>
  <c r="W132" i="33"/>
  <c r="W174" i="33"/>
  <c r="W304" i="33"/>
  <c r="W318" i="33" s="1"/>
  <c r="W274" i="33"/>
  <c r="X80" i="33"/>
  <c r="G296" i="33"/>
  <c r="G310" i="33" s="1"/>
  <c r="G324" i="33" s="1"/>
  <c r="G426" i="33"/>
  <c r="G96" i="33"/>
  <c r="G196" i="33"/>
  <c r="G354" i="33"/>
  <c r="G368" i="33" s="1"/>
  <c r="G382" i="33" s="1"/>
  <c r="AB84" i="33"/>
  <c r="G200" i="33"/>
  <c r="G358" i="33"/>
  <c r="G372" i="33" s="1"/>
  <c r="G386" i="33" s="1"/>
  <c r="G300" i="33"/>
  <c r="G314" i="33" s="1"/>
  <c r="G328" i="33" s="1"/>
  <c r="G100" i="33"/>
  <c r="G430" i="33"/>
  <c r="W88" i="33"/>
  <c r="G434" i="33"/>
  <c r="G104" i="33"/>
  <c r="G304" i="33"/>
  <c r="G318" i="33" s="1"/>
  <c r="G332" i="33" s="1"/>
  <c r="G204" i="33"/>
  <c r="G362" i="33"/>
  <c r="G376" i="33" s="1"/>
  <c r="G390" i="33" s="1"/>
  <c r="Q77" i="33"/>
  <c r="Q93" i="33"/>
  <c r="Q85" i="33"/>
  <c r="Q101" i="33"/>
  <c r="Q115" i="33" s="1"/>
  <c r="F415" i="33"/>
  <c r="F401" i="33"/>
  <c r="W423" i="33"/>
  <c r="W393" i="33"/>
  <c r="W335" i="33"/>
  <c r="W277" i="33"/>
  <c r="W221" i="33"/>
  <c r="W193" i="33"/>
  <c r="W163" i="33"/>
  <c r="W107" i="33"/>
  <c r="W407" i="33"/>
  <c r="W121" i="33"/>
  <c r="W93" i="33"/>
  <c r="W351" i="33"/>
  <c r="W365" i="33" s="1"/>
  <c r="W379" i="33" s="1"/>
  <c r="W177" i="33"/>
  <c r="W293" i="33"/>
  <c r="W307" i="33" s="1"/>
  <c r="W263" i="33"/>
  <c r="W207" i="33"/>
  <c r="Q39" i="33"/>
  <c r="Q53" i="33" s="1"/>
  <c r="Q97" i="33"/>
  <c r="Q167" i="33" s="1"/>
  <c r="F410" i="33"/>
  <c r="F396" i="33"/>
  <c r="F418" i="33"/>
  <c r="F404" i="33"/>
  <c r="W357" i="33"/>
  <c r="W371" i="33" s="1"/>
  <c r="W385" i="33" s="1"/>
  <c r="W269" i="33"/>
  <c r="W183" i="33"/>
  <c r="W99" i="33"/>
  <c r="W413" i="33"/>
  <c r="W299" i="33"/>
  <c r="W313" i="33" s="1"/>
  <c r="W213" i="33"/>
  <c r="W127" i="33"/>
  <c r="W429" i="33"/>
  <c r="W399" i="33"/>
  <c r="W341" i="33"/>
  <c r="W283" i="33"/>
  <c r="W227" i="33"/>
  <c r="W199" i="33"/>
  <c r="W169" i="33"/>
  <c r="W113" i="33"/>
  <c r="Q45" i="33"/>
  <c r="Q59" i="33" s="1"/>
  <c r="Q103" i="33"/>
  <c r="Q131" i="33" s="1"/>
  <c r="Q159" i="33" s="1"/>
  <c r="F409" i="33"/>
  <c r="F395" i="33"/>
  <c r="F399" i="33"/>
  <c r="F413" i="33"/>
  <c r="F417" i="33"/>
  <c r="F403" i="33"/>
  <c r="W424" i="33"/>
  <c r="W394" i="33"/>
  <c r="W336" i="33"/>
  <c r="W278" i="33"/>
  <c r="W222" i="33"/>
  <c r="W194" i="33"/>
  <c r="W164" i="33"/>
  <c r="W108" i="33"/>
  <c r="W408" i="33"/>
  <c r="W352" i="33"/>
  <c r="W366" i="33" s="1"/>
  <c r="W380" i="33" s="1"/>
  <c r="W294" i="33"/>
  <c r="W308" i="33" s="1"/>
  <c r="W264" i="33"/>
  <c r="W208" i="33"/>
  <c r="W178" i="33"/>
  <c r="W122" i="33"/>
  <c r="W94" i="33"/>
  <c r="W432" i="33"/>
  <c r="W402" i="33"/>
  <c r="W344" i="33"/>
  <c r="W286" i="33"/>
  <c r="W230" i="33"/>
  <c r="W202" i="33"/>
  <c r="W172" i="33"/>
  <c r="W116" i="33"/>
  <c r="W416" i="33"/>
  <c r="W360" i="33"/>
  <c r="W374" i="33" s="1"/>
  <c r="W388" i="33" s="1"/>
  <c r="W302" i="33"/>
  <c r="W316" i="33" s="1"/>
  <c r="W272" i="33"/>
  <c r="W216" i="33"/>
  <c r="W186" i="33"/>
  <c r="W130" i="33"/>
  <c r="W102" i="33"/>
  <c r="G425" i="33"/>
  <c r="G95" i="33"/>
  <c r="G295" i="33"/>
  <c r="G309" i="33" s="1"/>
  <c r="G323" i="33" s="1"/>
  <c r="G353" i="33"/>
  <c r="G367" i="33" s="1"/>
  <c r="G381" i="33" s="1"/>
  <c r="G195" i="33"/>
  <c r="AB83" i="33"/>
  <c r="G357" i="33"/>
  <c r="G371" i="33" s="1"/>
  <c r="G385" i="33" s="1"/>
  <c r="G199" i="33"/>
  <c r="G429" i="33"/>
  <c r="G299" i="33"/>
  <c r="G313" i="33" s="1"/>
  <c r="G327" i="33" s="1"/>
  <c r="G99" i="33"/>
  <c r="W87" i="33"/>
  <c r="G433" i="33"/>
  <c r="G303" i="33"/>
  <c r="G317" i="33" s="1"/>
  <c r="G331" i="33" s="1"/>
  <c r="G103" i="33"/>
  <c r="G361" i="33"/>
  <c r="G375" i="33" s="1"/>
  <c r="G389" i="33" s="1"/>
  <c r="G203" i="33"/>
  <c r="W411" i="33"/>
  <c r="W355" i="33"/>
  <c r="W369" i="33" s="1"/>
  <c r="W383" i="33" s="1"/>
  <c r="W297" i="33"/>
  <c r="W311" i="33" s="1"/>
  <c r="W267" i="33"/>
  <c r="W211" i="33"/>
  <c r="W181" i="33"/>
  <c r="W125" i="33"/>
  <c r="W97" i="33"/>
  <c r="W281" i="33"/>
  <c r="W397" i="33"/>
  <c r="W339" i="33"/>
  <c r="W225" i="33"/>
  <c r="W427" i="33"/>
  <c r="W197" i="33"/>
  <c r="W167" i="33"/>
  <c r="W111" i="33"/>
  <c r="F398" i="33"/>
  <c r="F412" i="33"/>
  <c r="G432" i="33"/>
  <c r="G302" i="33"/>
  <c r="G316" i="33" s="1"/>
  <c r="G330" i="33" s="1"/>
  <c r="G102" i="33"/>
  <c r="G360" i="33"/>
  <c r="G374" i="33" s="1"/>
  <c r="G388" i="33" s="1"/>
  <c r="G202" i="33"/>
  <c r="W395" i="33"/>
  <c r="W279" i="33"/>
  <c r="W195" i="33"/>
  <c r="W109" i="33"/>
  <c r="W425" i="33"/>
  <c r="W337" i="33"/>
  <c r="W223" i="33"/>
  <c r="W165" i="33"/>
  <c r="W409" i="33"/>
  <c r="W353" i="33"/>
  <c r="W367" i="33" s="1"/>
  <c r="W381" i="33" s="1"/>
  <c r="W295" i="33"/>
  <c r="W309" i="33" s="1"/>
  <c r="W265" i="33"/>
  <c r="W209" i="33"/>
  <c r="W179" i="33"/>
  <c r="W123" i="33"/>
  <c r="W95" i="33"/>
  <c r="Q41" i="33"/>
  <c r="Q55" i="33" s="1"/>
  <c r="Q99" i="33"/>
  <c r="Q127" i="33" s="1"/>
  <c r="Q155" i="33" s="1"/>
  <c r="F411" i="33"/>
  <c r="F397" i="33"/>
  <c r="F11" i="35"/>
  <c r="Q36" i="33"/>
  <c r="Q50" i="33" s="1"/>
  <c r="Q94" i="33"/>
  <c r="Q164" i="33" s="1"/>
  <c r="W412" i="33"/>
  <c r="W356" i="33"/>
  <c r="W370" i="33" s="1"/>
  <c r="W384" i="33" s="1"/>
  <c r="W298" i="33"/>
  <c r="W312" i="33" s="1"/>
  <c r="W268" i="33"/>
  <c r="W212" i="33"/>
  <c r="W182" i="33"/>
  <c r="W126" i="33"/>
  <c r="W98" i="33"/>
  <c r="W428" i="33"/>
  <c r="W398" i="33"/>
  <c r="W340" i="33"/>
  <c r="W282" i="33"/>
  <c r="W226" i="33"/>
  <c r="W198" i="33"/>
  <c r="W168" i="33"/>
  <c r="W112" i="33"/>
  <c r="X77" i="33"/>
  <c r="G423" i="33"/>
  <c r="G293" i="33"/>
  <c r="G307" i="33" s="1"/>
  <c r="G321" i="33" s="1"/>
  <c r="G93" i="33"/>
  <c r="G193" i="33"/>
  <c r="G351" i="33"/>
  <c r="G365" i="33" s="1"/>
  <c r="G379" i="33" s="1"/>
  <c r="G355" i="33"/>
  <c r="G369" i="33" s="1"/>
  <c r="G383" i="33" s="1"/>
  <c r="G197" i="33"/>
  <c r="G427" i="33"/>
  <c r="G297" i="33"/>
  <c r="G311" i="33" s="1"/>
  <c r="G325" i="33" s="1"/>
  <c r="G97" i="33"/>
  <c r="X85" i="33"/>
  <c r="G431" i="33"/>
  <c r="G301" i="33"/>
  <c r="G315" i="33" s="1"/>
  <c r="G329" i="33" s="1"/>
  <c r="G101" i="33"/>
  <c r="G201" i="33"/>
  <c r="G359" i="33"/>
  <c r="G373" i="33" s="1"/>
  <c r="G387" i="33" s="1"/>
  <c r="F22" i="35"/>
  <c r="G363" i="33"/>
  <c r="G377" i="33" s="1"/>
  <c r="G205" i="33"/>
  <c r="G435" i="33"/>
  <c r="G305" i="33"/>
  <c r="G319" i="33" s="1"/>
  <c r="G333" i="33" s="1"/>
  <c r="G320" i="33" s="1"/>
  <c r="G34" i="24" s="1"/>
  <c r="W363" i="33"/>
  <c r="W189" i="33"/>
  <c r="W233" i="33"/>
  <c r="W220" i="33" s="1"/>
  <c r="W25" i="24" s="1"/>
  <c r="W105" i="33"/>
  <c r="W175" i="33"/>
  <c r="W419" i="33"/>
  <c r="W406" i="33" s="1"/>
  <c r="W42" i="24" s="1"/>
  <c r="W305" i="33"/>
  <c r="W133" i="33"/>
  <c r="W405" i="33"/>
  <c r="W392" i="33" s="1"/>
  <c r="W41" i="24" s="1"/>
  <c r="W205" i="33"/>
  <c r="W192" i="33" s="1"/>
  <c r="W23" i="24" s="1"/>
  <c r="W275" i="33"/>
  <c r="W262" i="33" s="1"/>
  <c r="W28" i="24" s="1"/>
  <c r="W347" i="33"/>
  <c r="W334" i="33" s="1"/>
  <c r="W35" i="24" s="1"/>
  <c r="W289" i="33"/>
  <c r="W276" i="33" s="1"/>
  <c r="W29" i="24" s="1"/>
  <c r="W435" i="33"/>
  <c r="W422" i="33" s="1"/>
  <c r="W45" i="24" s="1"/>
  <c r="W219" i="33"/>
  <c r="W206" i="33" s="1"/>
  <c r="W24" i="24" s="1"/>
  <c r="F350" i="33"/>
  <c r="F405" i="33"/>
  <c r="F392" i="33" s="1"/>
  <c r="F41" i="24" s="1"/>
  <c r="F419" i="33"/>
  <c r="F406" i="33" s="1"/>
  <c r="F42" i="24" s="1"/>
  <c r="B22" i="35"/>
  <c r="AB220" i="33"/>
  <c r="AB25" i="24" s="1"/>
  <c r="B6" i="35"/>
  <c r="F6" i="35" s="1"/>
  <c r="AA220" i="33"/>
  <c r="AA25" i="24" s="1"/>
  <c r="AC220" i="33"/>
  <c r="AC25" i="24" s="1"/>
  <c r="B29" i="35"/>
  <c r="B16" i="35"/>
  <c r="F16" i="35" s="1"/>
  <c r="Z79" i="33"/>
  <c r="L118" i="33"/>
  <c r="L362" i="33"/>
  <c r="AC82" i="33"/>
  <c r="L109" i="33"/>
  <c r="L353" i="33"/>
  <c r="L113" i="33"/>
  <c r="L357" i="33"/>
  <c r="L117" i="33"/>
  <c r="L361" i="33"/>
  <c r="AA422" i="33"/>
  <c r="AA45" i="24" s="1"/>
  <c r="S433" i="33"/>
  <c r="AC433" i="33"/>
  <c r="T433" i="33"/>
  <c r="Z433" i="33"/>
  <c r="Y433" i="33"/>
  <c r="S83" i="33"/>
  <c r="AC87" i="33"/>
  <c r="L110" i="33"/>
  <c r="L354" i="33"/>
  <c r="Y430" i="33"/>
  <c r="T430" i="33"/>
  <c r="S430" i="33"/>
  <c r="AC430" i="33"/>
  <c r="Z430" i="33"/>
  <c r="S81" i="33"/>
  <c r="Y85" i="33"/>
  <c r="L108" i="33"/>
  <c r="L352" i="33"/>
  <c r="L112" i="33"/>
  <c r="L356" i="33"/>
  <c r="L116" i="33"/>
  <c r="L360" i="33"/>
  <c r="L114" i="33"/>
  <c r="L358" i="33"/>
  <c r="AC424" i="33"/>
  <c r="Z424" i="33"/>
  <c r="S424" i="33"/>
  <c r="Y424" i="33"/>
  <c r="T424" i="33"/>
  <c r="Y84" i="33"/>
  <c r="AC88" i="33"/>
  <c r="L107" i="33"/>
  <c r="L351" i="33"/>
  <c r="L111" i="33"/>
  <c r="L355" i="33"/>
  <c r="L115" i="33"/>
  <c r="L359" i="33"/>
  <c r="AA292" i="33"/>
  <c r="T165" i="33"/>
  <c r="R295" i="33"/>
  <c r="R309" i="33" s="1"/>
  <c r="R323" i="33" s="1"/>
  <c r="R292" i="33"/>
  <c r="Z305" i="33"/>
  <c r="Y305" i="33"/>
  <c r="R347" i="33"/>
  <c r="AC305" i="33"/>
  <c r="T305" i="33"/>
  <c r="S305" i="33"/>
  <c r="Z167" i="33"/>
  <c r="R297" i="33"/>
  <c r="R311" i="33" s="1"/>
  <c r="R325" i="33" s="1"/>
  <c r="T294" i="33"/>
  <c r="T308" i="33" s="1"/>
  <c r="Y294" i="33"/>
  <c r="Y308" i="33" s="1"/>
  <c r="AC294" i="33"/>
  <c r="AC308" i="33" s="1"/>
  <c r="S294" i="33"/>
  <c r="S308" i="33" s="1"/>
  <c r="Z294" i="33"/>
  <c r="Z308" i="33" s="1"/>
  <c r="R336" i="33"/>
  <c r="AC172" i="33"/>
  <c r="R302" i="33"/>
  <c r="R316" i="33" s="1"/>
  <c r="R330" i="33" s="1"/>
  <c r="R340" i="33"/>
  <c r="S298" i="33"/>
  <c r="S312" i="33" s="1"/>
  <c r="AC298" i="33"/>
  <c r="AC312" i="33" s="1"/>
  <c r="Y298" i="33"/>
  <c r="Y312" i="33" s="1"/>
  <c r="T298" i="33"/>
  <c r="T312" i="33" s="1"/>
  <c r="Z298" i="33"/>
  <c r="Z312" i="33" s="1"/>
  <c r="T170" i="33"/>
  <c r="R300" i="33"/>
  <c r="R314" i="33" s="1"/>
  <c r="R328" i="33" s="1"/>
  <c r="Z166" i="33"/>
  <c r="R296" i="33"/>
  <c r="R310" i="33" s="1"/>
  <c r="R324" i="33" s="1"/>
  <c r="S174" i="33"/>
  <c r="R304" i="33"/>
  <c r="R318" i="33" s="1"/>
  <c r="R332" i="33" s="1"/>
  <c r="S173" i="33"/>
  <c r="R303" i="33"/>
  <c r="R317" i="33" s="1"/>
  <c r="R331" i="33" s="1"/>
  <c r="S299" i="33"/>
  <c r="S313" i="33" s="1"/>
  <c r="R341" i="33"/>
  <c r="AC299" i="33"/>
  <c r="AC313" i="33" s="1"/>
  <c r="T299" i="33"/>
  <c r="T313" i="33" s="1"/>
  <c r="Z299" i="33"/>
  <c r="Z313" i="33" s="1"/>
  <c r="Y299" i="33"/>
  <c r="Y313" i="33" s="1"/>
  <c r="Z163" i="33"/>
  <c r="R293" i="33"/>
  <c r="R307" i="33" s="1"/>
  <c r="R321" i="33" s="1"/>
  <c r="Z171" i="33"/>
  <c r="R301" i="33"/>
  <c r="R315" i="33" s="1"/>
  <c r="R329" i="33" s="1"/>
  <c r="B7" i="35"/>
  <c r="F7" i="35" s="1"/>
  <c r="AC192" i="33"/>
  <c r="AA192" i="33"/>
  <c r="AA23" i="24" s="1"/>
  <c r="R122" i="33"/>
  <c r="L194" i="33"/>
  <c r="L208" i="33" s="1"/>
  <c r="L222" i="33" s="1"/>
  <c r="R124" i="33"/>
  <c r="L196" i="33"/>
  <c r="L210" i="33" s="1"/>
  <c r="L224" i="33" s="1"/>
  <c r="R188" i="33"/>
  <c r="L204" i="33"/>
  <c r="L218" i="33" s="1"/>
  <c r="L232" i="33" s="1"/>
  <c r="Y112" i="33"/>
  <c r="L198" i="33"/>
  <c r="L212" i="33" s="1"/>
  <c r="L226" i="33" s="1"/>
  <c r="S113" i="33"/>
  <c r="L199" i="33"/>
  <c r="L213" i="33" s="1"/>
  <c r="L227" i="33" s="1"/>
  <c r="R123" i="33"/>
  <c r="L195" i="33"/>
  <c r="L209" i="33" s="1"/>
  <c r="L223" i="33" s="1"/>
  <c r="AC114" i="33"/>
  <c r="L200" i="33"/>
  <c r="L214" i="33" s="1"/>
  <c r="L228" i="33" s="1"/>
  <c r="L219" i="33"/>
  <c r="L206" i="33" s="1"/>
  <c r="S116" i="33"/>
  <c r="L202" i="33"/>
  <c r="L216" i="33" s="1"/>
  <c r="L230" i="33" s="1"/>
  <c r="Y107" i="33"/>
  <c r="L193" i="33"/>
  <c r="L207" i="33" s="1"/>
  <c r="L221" i="33" s="1"/>
  <c r="AC111" i="33"/>
  <c r="L197" i="33"/>
  <c r="L211" i="33" s="1"/>
  <c r="L225" i="33" s="1"/>
  <c r="Z175" i="33"/>
  <c r="AA175" i="33"/>
  <c r="AA133" i="33"/>
  <c r="P189" i="33"/>
  <c r="L92" i="33"/>
  <c r="AC89" i="33"/>
  <c r="AA89" i="33"/>
  <c r="W89" i="33"/>
  <c r="AA47" i="33"/>
  <c r="AA61" i="33" s="1"/>
  <c r="AA48" i="33" s="1"/>
  <c r="AA9" i="24" s="1"/>
  <c r="G47" i="33"/>
  <c r="T33" i="33"/>
  <c r="T75" i="33" s="1"/>
  <c r="T62" i="33" s="1"/>
  <c r="T10" i="24" s="1"/>
  <c r="X33" i="33"/>
  <c r="X75" i="33" s="1"/>
  <c r="X62" i="33" s="1"/>
  <c r="X10" i="24" s="1"/>
  <c r="Y110" i="33"/>
  <c r="AC112" i="33"/>
  <c r="Q89" i="33"/>
  <c r="AC19" i="33"/>
  <c r="AB85" i="33"/>
  <c r="Z110" i="33"/>
  <c r="Q80" i="33"/>
  <c r="AA109" i="33"/>
  <c r="W80" i="33"/>
  <c r="AC109" i="33"/>
  <c r="W27" i="33"/>
  <c r="S112" i="33"/>
  <c r="T112" i="33"/>
  <c r="Y171" i="33"/>
  <c r="AC27" i="33"/>
  <c r="AC69" i="33" s="1"/>
  <c r="Z33" i="33"/>
  <c r="Z75" i="33" s="1"/>
  <c r="Z62" i="33" s="1"/>
  <c r="Z10" i="24" s="1"/>
  <c r="AC171" i="33"/>
  <c r="Z30" i="33"/>
  <c r="Z72" i="33" s="1"/>
  <c r="Y118" i="33"/>
  <c r="AA118" i="33"/>
  <c r="X27" i="33"/>
  <c r="X69" i="33" s="1"/>
  <c r="Q81" i="33"/>
  <c r="T113" i="33"/>
  <c r="S114" i="33"/>
  <c r="T25" i="33"/>
  <c r="T67" i="33" s="1"/>
  <c r="Y79" i="33"/>
  <c r="T83" i="33"/>
  <c r="T114" i="33"/>
  <c r="Y165" i="33"/>
  <c r="S166" i="33"/>
  <c r="Q21" i="33"/>
  <c r="Q63" i="33" s="1"/>
  <c r="U22" i="33"/>
  <c r="U64" i="33" s="1"/>
  <c r="U25" i="33"/>
  <c r="U67" i="33" s="1"/>
  <c r="Y29" i="33"/>
  <c r="Y71" i="33" s="1"/>
  <c r="AB32" i="33"/>
  <c r="AB74" i="33" s="1"/>
  <c r="Z82" i="33"/>
  <c r="T85" i="33"/>
  <c r="T87" i="33"/>
  <c r="T163" i="33"/>
  <c r="Z165" i="33"/>
  <c r="T166" i="33"/>
  <c r="S167" i="33"/>
  <c r="Q168" i="33"/>
  <c r="V184" i="33"/>
  <c r="AA184" i="33" s="1"/>
  <c r="W22" i="33"/>
  <c r="W25" i="33"/>
  <c r="AC32" i="33"/>
  <c r="AC74" i="33" s="1"/>
  <c r="Q47" i="33"/>
  <c r="Q61" i="33" s="1"/>
  <c r="Q48" i="33" s="1"/>
  <c r="Q9" i="24" s="1"/>
  <c r="W77" i="33"/>
  <c r="W83" i="33"/>
  <c r="AC84" i="33"/>
  <c r="T167" i="33"/>
  <c r="X22" i="33"/>
  <c r="X64" i="33" s="1"/>
  <c r="X25" i="33"/>
  <c r="X67" i="33" s="1"/>
  <c r="Z31" i="33"/>
  <c r="Z73" i="33" s="1"/>
  <c r="W85" i="33"/>
  <c r="Y87" i="33"/>
  <c r="X89" i="33"/>
  <c r="R126" i="33"/>
  <c r="Y163" i="33"/>
  <c r="AC165" i="33"/>
  <c r="R182" i="33"/>
  <c r="Q22" i="33"/>
  <c r="Q64" i="33" s="1"/>
  <c r="Q78" i="33"/>
  <c r="Y82" i="33"/>
  <c r="S85" i="33"/>
  <c r="Y25" i="33"/>
  <c r="Y67" i="33" s="1"/>
  <c r="Z87" i="33"/>
  <c r="X88" i="33"/>
  <c r="Y89" i="33"/>
  <c r="Y116" i="33"/>
  <c r="R186" i="33"/>
  <c r="Y33" i="33"/>
  <c r="Y75" i="33" s="1"/>
  <c r="Y62" i="33" s="1"/>
  <c r="Y10" i="24" s="1"/>
  <c r="AC85" i="33"/>
  <c r="AB88" i="33"/>
  <c r="Z89" i="33"/>
  <c r="Z116" i="33"/>
  <c r="Z118" i="33"/>
  <c r="Y167" i="33"/>
  <c r="Q35" i="33"/>
  <c r="Q49" i="33" s="1"/>
  <c r="W86" i="33"/>
  <c r="X86" i="33"/>
  <c r="AB86" i="33"/>
  <c r="Z115" i="33"/>
  <c r="Y115" i="33"/>
  <c r="S115" i="33"/>
  <c r="S117" i="33"/>
  <c r="AC117" i="33"/>
  <c r="W28" i="33"/>
  <c r="Q28" i="33"/>
  <c r="Q70" i="33" s="1"/>
  <c r="W79" i="33"/>
  <c r="X79" i="33"/>
  <c r="AB79" i="33"/>
  <c r="AB82" i="33"/>
  <c r="W82" i="33"/>
  <c r="S86" i="33"/>
  <c r="Y86" i="33"/>
  <c r="T86" i="33"/>
  <c r="V185" i="33"/>
  <c r="AA185" i="33" s="1"/>
  <c r="AA115" i="33"/>
  <c r="V187" i="33"/>
  <c r="AA187" i="33" s="1"/>
  <c r="AA117" i="33"/>
  <c r="V189" i="33"/>
  <c r="W23" i="33"/>
  <c r="X23" i="33"/>
  <c r="X65" i="33" s="1"/>
  <c r="S27" i="33"/>
  <c r="S69" i="33" s="1"/>
  <c r="W78" i="33"/>
  <c r="X78" i="33"/>
  <c r="AB78" i="33"/>
  <c r="AB81" i="33"/>
  <c r="W81" i="33"/>
  <c r="Z88" i="33"/>
  <c r="Y88" i="33"/>
  <c r="Y108" i="33"/>
  <c r="AC108" i="33"/>
  <c r="R178" i="33"/>
  <c r="T108" i="33"/>
  <c r="T23" i="33"/>
  <c r="T65" i="33" s="1"/>
  <c r="Y23" i="33"/>
  <c r="Y65" i="33" s="1"/>
  <c r="S23" i="33"/>
  <c r="S65" i="33" s="1"/>
  <c r="Z23" i="33"/>
  <c r="Z65" i="33" s="1"/>
  <c r="X84" i="33"/>
  <c r="W84" i="33"/>
  <c r="AC86" i="33"/>
  <c r="S88" i="33"/>
  <c r="S108" i="33"/>
  <c r="V180" i="33"/>
  <c r="AA180" i="33" s="1"/>
  <c r="Q37" i="33"/>
  <c r="Q51" i="33" s="1"/>
  <c r="Q79" i="33"/>
  <c r="AB28" i="33"/>
  <c r="AB70" i="33" s="1"/>
  <c r="Z83" i="33"/>
  <c r="AC83" i="33"/>
  <c r="Y83" i="33"/>
  <c r="T88" i="33"/>
  <c r="R184" i="33"/>
  <c r="R128" i="33"/>
  <c r="Z114" i="33"/>
  <c r="Y114" i="33"/>
  <c r="Y27" i="33"/>
  <c r="Y69" i="33" s="1"/>
  <c r="Z27" i="33"/>
  <c r="Z69" i="33" s="1"/>
  <c r="Y21" i="33"/>
  <c r="Y63" i="33" s="1"/>
  <c r="Z21" i="33"/>
  <c r="Z63" i="33" s="1"/>
  <c r="X82" i="33"/>
  <c r="Q29" i="33"/>
  <c r="Q71" i="33" s="1"/>
  <c r="U29" i="33"/>
  <c r="U71" i="33" s="1"/>
  <c r="AC29" i="33"/>
  <c r="AC71" i="33" s="1"/>
  <c r="W29" i="33"/>
  <c r="Z168" i="33"/>
  <c r="Y168" i="33"/>
  <c r="T174" i="33"/>
  <c r="AC174" i="33"/>
  <c r="Y174" i="33"/>
  <c r="AB87" i="33"/>
  <c r="S29" i="33"/>
  <c r="S71" i="33" s="1"/>
  <c r="Q32" i="33"/>
  <c r="Q74" i="33" s="1"/>
  <c r="S109" i="33"/>
  <c r="AC22" i="33"/>
  <c r="AC64" i="33" s="1"/>
  <c r="Q27" i="33"/>
  <c r="Q69" i="33" s="1"/>
  <c r="Y31" i="33"/>
  <c r="Y73" i="33" s="1"/>
  <c r="W32" i="33"/>
  <c r="Q83" i="33"/>
  <c r="Z109" i="33"/>
  <c r="T116" i="33"/>
  <c r="S163" i="33"/>
  <c r="AC166" i="33"/>
  <c r="AC170" i="33"/>
  <c r="S84" i="33"/>
  <c r="AB89" i="33"/>
  <c r="S170" i="33"/>
  <c r="T29" i="33"/>
  <c r="T71" i="33" s="1"/>
  <c r="T31" i="33"/>
  <c r="T73" i="33" s="1"/>
  <c r="S33" i="33"/>
  <c r="S75" i="33" s="1"/>
  <c r="S62" i="33" s="1"/>
  <c r="S10" i="24" s="1"/>
  <c r="AB77" i="33"/>
  <c r="AB80" i="33"/>
  <c r="T84" i="33"/>
  <c r="T118" i="33"/>
  <c r="Q126" i="33"/>
  <c r="Q154" i="33" s="1"/>
  <c r="S165" i="33"/>
  <c r="Y166" i="33"/>
  <c r="AC167" i="33"/>
  <c r="S171" i="33"/>
  <c r="AB25" i="33"/>
  <c r="AB67" i="33" s="1"/>
  <c r="Z28" i="33"/>
  <c r="Z70" i="33" s="1"/>
  <c r="U32" i="33"/>
  <c r="U74" i="33" s="1"/>
  <c r="Q46" i="33"/>
  <c r="Q60" i="33" s="1"/>
  <c r="Y109" i="33"/>
  <c r="AC163" i="33"/>
  <c r="Y170" i="33"/>
  <c r="T171" i="33"/>
  <c r="X24" i="33"/>
  <c r="X66" i="33" s="1"/>
  <c r="W24" i="33"/>
  <c r="U24" i="33"/>
  <c r="U66" i="33" s="1"/>
  <c r="R133" i="33"/>
  <c r="AC78" i="33"/>
  <c r="T78" i="33"/>
  <c r="X83" i="33"/>
  <c r="AA112" i="33"/>
  <c r="Q82" i="33"/>
  <c r="Q40" i="33"/>
  <c r="Q54" i="33" s="1"/>
  <c r="AB33" i="33"/>
  <c r="AB75" i="33" s="1"/>
  <c r="AB62" i="33" s="1"/>
  <c r="AB10" i="24" s="1"/>
  <c r="AC33" i="33"/>
  <c r="AC75" i="33" s="1"/>
  <c r="AC62" i="33" s="1"/>
  <c r="AC10" i="24" s="1"/>
  <c r="Q33" i="33"/>
  <c r="Q75" i="33" s="1"/>
  <c r="Q62" i="33" s="1"/>
  <c r="Q10" i="24" s="1"/>
  <c r="AC164" i="33"/>
  <c r="S164" i="33"/>
  <c r="T164" i="33"/>
  <c r="Z164" i="33"/>
  <c r="Y164" i="33"/>
  <c r="AB26" i="33"/>
  <c r="AB68" i="33" s="1"/>
  <c r="X26" i="33"/>
  <c r="X68" i="33" s="1"/>
  <c r="W26" i="33"/>
  <c r="U26" i="33"/>
  <c r="U68" i="33" s="1"/>
  <c r="Q128" i="33"/>
  <c r="Q156" i="33" s="1"/>
  <c r="Q114" i="33"/>
  <c r="Q170" i="33"/>
  <c r="V178" i="33"/>
  <c r="AA178" i="33" s="1"/>
  <c r="AA108" i="33"/>
  <c r="T169" i="33"/>
  <c r="AC169" i="33"/>
  <c r="Z169" i="33"/>
  <c r="Y169" i="33"/>
  <c r="W21" i="33"/>
  <c r="U21" i="33"/>
  <c r="U63" i="33" s="1"/>
  <c r="AC21" i="33"/>
  <c r="AC63" i="33" s="1"/>
  <c r="AB21" i="33"/>
  <c r="AB63" i="33" s="1"/>
  <c r="S26" i="33"/>
  <c r="S68" i="33" s="1"/>
  <c r="T26" i="33"/>
  <c r="T68" i="33" s="1"/>
  <c r="Y78" i="33"/>
  <c r="Q165" i="33"/>
  <c r="Q109" i="33"/>
  <c r="Q123" i="33"/>
  <c r="Q151" i="33" s="1"/>
  <c r="R181" i="33"/>
  <c r="R125" i="33"/>
  <c r="S111" i="33"/>
  <c r="T111" i="33"/>
  <c r="Z111" i="33"/>
  <c r="Y111" i="33"/>
  <c r="S169" i="33"/>
  <c r="R189" i="33"/>
  <c r="Q44" i="33"/>
  <c r="Q58" i="33" s="1"/>
  <c r="Q86" i="33"/>
  <c r="Q84" i="33"/>
  <c r="Q42" i="33"/>
  <c r="Q56" i="33" s="1"/>
  <c r="Q24" i="33"/>
  <c r="Q66" i="33" s="1"/>
  <c r="Y24" i="33"/>
  <c r="Y66" i="33" s="1"/>
  <c r="T24" i="33"/>
  <c r="T66" i="33" s="1"/>
  <c r="AB30" i="33"/>
  <c r="AB72" i="33" s="1"/>
  <c r="AC30" i="33"/>
  <c r="AC72" i="33" s="1"/>
  <c r="X30" i="33"/>
  <c r="X72" i="33" s="1"/>
  <c r="W30" i="33"/>
  <c r="U30" i="33"/>
  <c r="U72" i="33" s="1"/>
  <c r="S78" i="33"/>
  <c r="Y117" i="33"/>
  <c r="R187" i="33"/>
  <c r="R131" i="33"/>
  <c r="T117" i="33"/>
  <c r="Z117" i="33"/>
  <c r="S24" i="33"/>
  <c r="S66" i="33" s="1"/>
  <c r="Q30" i="33"/>
  <c r="Q72" i="33" s="1"/>
  <c r="Y32" i="33"/>
  <c r="Y74" i="33" s="1"/>
  <c r="Z32" i="33"/>
  <c r="Z74" i="33" s="1"/>
  <c r="T32" i="33"/>
  <c r="T74" i="33" s="1"/>
  <c r="AC80" i="33"/>
  <c r="S80" i="33"/>
  <c r="T80" i="33"/>
  <c r="Z24" i="33"/>
  <c r="Z66" i="33" s="1"/>
  <c r="Q26" i="33"/>
  <c r="Q68" i="33" s="1"/>
  <c r="S32" i="33"/>
  <c r="S74" i="33" s="1"/>
  <c r="AB24" i="33"/>
  <c r="AB66" i="33" s="1"/>
  <c r="U33" i="33"/>
  <c r="U75" i="33" s="1"/>
  <c r="U62" i="33" s="1"/>
  <c r="U10" i="24" s="1"/>
  <c r="Y77" i="33"/>
  <c r="T77" i="33"/>
  <c r="AC77" i="33"/>
  <c r="S77" i="33"/>
  <c r="Z78" i="33"/>
  <c r="AC79" i="33"/>
  <c r="T79" i="33"/>
  <c r="Y80" i="33"/>
  <c r="T21" i="33"/>
  <c r="T63" i="33" s="1"/>
  <c r="S21" i="33"/>
  <c r="S63" i="33" s="1"/>
  <c r="S22" i="33"/>
  <c r="S64" i="33" s="1"/>
  <c r="Z22" i="33"/>
  <c r="Z64" i="33" s="1"/>
  <c r="Y22" i="33"/>
  <c r="Y64" i="33" s="1"/>
  <c r="U23" i="33"/>
  <c r="U65" i="33" s="1"/>
  <c r="AC23" i="33"/>
  <c r="AC65" i="33" s="1"/>
  <c r="AB23" i="33"/>
  <c r="AB65" i="33" s="1"/>
  <c r="Q23" i="33"/>
  <c r="Q65" i="33" s="1"/>
  <c r="AC24" i="33"/>
  <c r="AC66" i="33" s="1"/>
  <c r="Z26" i="33"/>
  <c r="Z68" i="33" s="1"/>
  <c r="X28" i="33"/>
  <c r="X70" i="33" s="1"/>
  <c r="U28" i="33"/>
  <c r="U70" i="33" s="1"/>
  <c r="AC28" i="33"/>
  <c r="AC70" i="33" s="1"/>
  <c r="W33" i="33"/>
  <c r="W41" i="33"/>
  <c r="W255" i="33" s="1"/>
  <c r="S79" i="33"/>
  <c r="Z80" i="33"/>
  <c r="T81" i="33"/>
  <c r="AC81" i="33"/>
  <c r="Z81" i="33"/>
  <c r="Y81" i="33"/>
  <c r="R127" i="33"/>
  <c r="R183" i="33"/>
  <c r="Z113" i="33"/>
  <c r="AC113" i="33"/>
  <c r="Y113" i="33"/>
  <c r="R180" i="33"/>
  <c r="AC110" i="33"/>
  <c r="T110" i="33"/>
  <c r="S30" i="33"/>
  <c r="S72" i="33" s="1"/>
  <c r="T30" i="33"/>
  <c r="T72" i="33" s="1"/>
  <c r="U31" i="33"/>
  <c r="U73" i="33" s="1"/>
  <c r="W31" i="33"/>
  <c r="S110" i="33"/>
  <c r="V183" i="33"/>
  <c r="AA183" i="33" s="1"/>
  <c r="AA113" i="33"/>
  <c r="S168" i="33"/>
  <c r="AC168" i="33"/>
  <c r="T168" i="33"/>
  <c r="Y172" i="33"/>
  <c r="Z172" i="33"/>
  <c r="S28" i="33"/>
  <c r="S70" i="33" s="1"/>
  <c r="Q31" i="33"/>
  <c r="Q73" i="33" s="1"/>
  <c r="AB31" i="33"/>
  <c r="AB73" i="33" s="1"/>
  <c r="Q43" i="33"/>
  <c r="Q57" i="33" s="1"/>
  <c r="X81" i="33"/>
  <c r="Z85" i="33"/>
  <c r="Z86" i="33"/>
  <c r="Q87" i="33"/>
  <c r="S89" i="33"/>
  <c r="V177" i="33"/>
  <c r="AA177" i="33" s="1"/>
  <c r="AA107" i="33"/>
  <c r="R179" i="33"/>
  <c r="T109" i="33"/>
  <c r="S172" i="33"/>
  <c r="R177" i="33"/>
  <c r="S107" i="33"/>
  <c r="T107" i="33"/>
  <c r="Z107" i="33"/>
  <c r="AC107" i="33"/>
  <c r="T28" i="33"/>
  <c r="T70" i="33" s="1"/>
  <c r="AC31" i="33"/>
  <c r="AC73" i="33" s="1"/>
  <c r="S82" i="33"/>
  <c r="T82" i="33"/>
  <c r="T89" i="33"/>
  <c r="R121" i="33"/>
  <c r="R132" i="33"/>
  <c r="T172" i="33"/>
  <c r="S175" i="33"/>
  <c r="Y175" i="33"/>
  <c r="T175" i="33"/>
  <c r="AC175" i="33"/>
  <c r="S25" i="33"/>
  <c r="S67" i="33" s="1"/>
  <c r="AC25" i="33"/>
  <c r="AC67" i="33" s="1"/>
  <c r="AB27" i="33"/>
  <c r="AB69" i="33" s="1"/>
  <c r="AB29" i="33"/>
  <c r="AB71" i="33" s="1"/>
  <c r="S87" i="33"/>
  <c r="S118" i="33"/>
  <c r="AC118" i="33"/>
  <c r="Z84" i="33"/>
  <c r="X87" i="33"/>
  <c r="Q175" i="33"/>
  <c r="Q133" i="33"/>
  <c r="Q161" i="33" s="1"/>
  <c r="Q148" i="33" s="1"/>
  <c r="Q18" i="24" s="1"/>
  <c r="R185" i="33"/>
  <c r="AC115" i="33"/>
  <c r="T115" i="33"/>
  <c r="R129" i="33"/>
  <c r="R130" i="33"/>
  <c r="T173" i="33"/>
  <c r="Y173" i="33"/>
  <c r="Z173" i="33"/>
  <c r="Q130" i="33"/>
  <c r="Q158" i="33" s="1"/>
  <c r="Q172" i="33"/>
  <c r="V181" i="33"/>
  <c r="AA181" i="33" s="1"/>
  <c r="AA111" i="33"/>
  <c r="AC116" i="33"/>
  <c r="AC173" i="33"/>
  <c r="Z108" i="33"/>
  <c r="Z112" i="33"/>
  <c r="V186" i="33"/>
  <c r="AA186" i="33" s="1"/>
  <c r="AA116" i="33"/>
  <c r="Z170" i="33"/>
  <c r="Z174" i="33"/>
  <c r="L401" i="33" l="1"/>
  <c r="L415" i="33" s="1"/>
  <c r="L373" i="33"/>
  <c r="L387" i="33" s="1"/>
  <c r="L399" i="33"/>
  <c r="L413" i="33" s="1"/>
  <c r="L371" i="33"/>
  <c r="L385" i="33" s="1"/>
  <c r="F407" i="33"/>
  <c r="F365" i="33"/>
  <c r="F379" i="33" s="1"/>
  <c r="L398" i="33"/>
  <c r="L412" i="33" s="1"/>
  <c r="L370" i="33"/>
  <c r="L384" i="33" s="1"/>
  <c r="F38" i="24"/>
  <c r="L402" i="33"/>
  <c r="L416" i="33" s="1"/>
  <c r="L374" i="33"/>
  <c r="L388" i="33" s="1"/>
  <c r="L395" i="33"/>
  <c r="L409" i="33" s="1"/>
  <c r="L367" i="33"/>
  <c r="L381" i="33" s="1"/>
  <c r="L394" i="33"/>
  <c r="L408" i="33" s="1"/>
  <c r="L366" i="33"/>
  <c r="L380" i="33" s="1"/>
  <c r="L393" i="33"/>
  <c r="L407" i="33" s="1"/>
  <c r="L365" i="33"/>
  <c r="L379" i="33" s="1"/>
  <c r="L396" i="33"/>
  <c r="L410" i="33" s="1"/>
  <c r="L368" i="33"/>
  <c r="L382" i="33" s="1"/>
  <c r="G364" i="33"/>
  <c r="G39" i="24" s="1"/>
  <c r="G391" i="33"/>
  <c r="G378" i="33" s="1"/>
  <c r="G40" i="24" s="1"/>
  <c r="L400" i="33"/>
  <c r="L414" i="33" s="1"/>
  <c r="L372" i="33"/>
  <c r="L386" i="33" s="1"/>
  <c r="L404" i="33"/>
  <c r="L418" i="33" s="1"/>
  <c r="L376" i="33"/>
  <c r="L390" i="33" s="1"/>
  <c r="L397" i="33"/>
  <c r="L411" i="33" s="1"/>
  <c r="L369" i="33"/>
  <c r="L383" i="33" s="1"/>
  <c r="L350" i="33"/>
  <c r="L377" i="33"/>
  <c r="L403" i="33"/>
  <c r="L417" i="33" s="1"/>
  <c r="L375" i="33"/>
  <c r="L389" i="33" s="1"/>
  <c r="W350" i="33"/>
  <c r="W377" i="33"/>
  <c r="L121" i="33"/>
  <c r="L163" i="33" s="1"/>
  <c r="L177" i="33" s="1"/>
  <c r="L124" i="33"/>
  <c r="L138" i="33" s="1"/>
  <c r="L152" i="33" s="1"/>
  <c r="L128" i="33"/>
  <c r="L170" i="33" s="1"/>
  <c r="L184" i="33" s="1"/>
  <c r="L132" i="33"/>
  <c r="L146" i="33" s="1"/>
  <c r="L160" i="33" s="1"/>
  <c r="L131" i="33"/>
  <c r="L173" i="33" s="1"/>
  <c r="L187" i="33" s="1"/>
  <c r="L129" i="33"/>
  <c r="L171" i="33" s="1"/>
  <c r="L185" i="33" s="1"/>
  <c r="L127" i="33"/>
  <c r="L169" i="33" s="1"/>
  <c r="L183" i="33" s="1"/>
  <c r="R32" i="24"/>
  <c r="L122" i="33"/>
  <c r="L136" i="33" s="1"/>
  <c r="L150" i="33" s="1"/>
  <c r="AA32" i="24"/>
  <c r="L126" i="33"/>
  <c r="L168" i="33" s="1"/>
  <c r="L182" i="33" s="1"/>
  <c r="L130" i="33"/>
  <c r="L172" i="33" s="1"/>
  <c r="L186" i="33" s="1"/>
  <c r="L125" i="33"/>
  <c r="L167" i="33" s="1"/>
  <c r="L181" i="33" s="1"/>
  <c r="L123" i="33"/>
  <c r="L165" i="33" s="1"/>
  <c r="L179" i="33" s="1"/>
  <c r="W331" i="33"/>
  <c r="Z326" i="33"/>
  <c r="W324" i="33"/>
  <c r="Y327" i="33"/>
  <c r="Y326" i="33"/>
  <c r="S322" i="33"/>
  <c r="W327" i="33"/>
  <c r="W329" i="33"/>
  <c r="AC326" i="33"/>
  <c r="X38" i="33"/>
  <c r="X52" i="33" s="1"/>
  <c r="T327" i="33"/>
  <c r="S326" i="33"/>
  <c r="Y322" i="33"/>
  <c r="W325" i="33"/>
  <c r="W332" i="33"/>
  <c r="Z322" i="33"/>
  <c r="Z327" i="33"/>
  <c r="AC327" i="33"/>
  <c r="T322" i="33"/>
  <c r="W323" i="33"/>
  <c r="W330" i="33"/>
  <c r="W322" i="33"/>
  <c r="W328" i="33"/>
  <c r="S327" i="33"/>
  <c r="W321" i="33"/>
  <c r="T326" i="33"/>
  <c r="AC322" i="33"/>
  <c r="U79" i="33"/>
  <c r="W326" i="33"/>
  <c r="G306" i="33"/>
  <c r="G33" i="24" s="1"/>
  <c r="Z292" i="33"/>
  <c r="Z319" i="33"/>
  <c r="Z333" i="33" s="1"/>
  <c r="Z320" i="33" s="1"/>
  <c r="Z34" i="24" s="1"/>
  <c r="T292" i="33"/>
  <c r="T319" i="33"/>
  <c r="T333" i="33" s="1"/>
  <c r="T320" i="33" s="1"/>
  <c r="T34" i="24" s="1"/>
  <c r="AC292" i="33"/>
  <c r="AC32" i="24" s="1"/>
  <c r="AC319" i="33"/>
  <c r="AC333" i="33" s="1"/>
  <c r="AC320" i="33" s="1"/>
  <c r="AC34" i="24" s="1"/>
  <c r="S292" i="33"/>
  <c r="S319" i="33"/>
  <c r="S333" i="33" s="1"/>
  <c r="S320" i="33" s="1"/>
  <c r="S34" i="24" s="1"/>
  <c r="Y292" i="33"/>
  <c r="Y319" i="33"/>
  <c r="Y333" i="33" s="1"/>
  <c r="Y320" i="33" s="1"/>
  <c r="Y34" i="24" s="1"/>
  <c r="W292" i="33"/>
  <c r="W319" i="33"/>
  <c r="W333" i="33" s="1"/>
  <c r="W320" i="33" s="1"/>
  <c r="W34" i="24" s="1"/>
  <c r="W240" i="33"/>
  <c r="W235" i="33"/>
  <c r="W236" i="33"/>
  <c r="Y188" i="33"/>
  <c r="W243" i="33"/>
  <c r="W241" i="33"/>
  <c r="W246" i="33"/>
  <c r="W237" i="33"/>
  <c r="S186" i="33"/>
  <c r="W247" i="33"/>
  <c r="W234" i="33" s="1"/>
  <c r="W26" i="24" s="1"/>
  <c r="W242" i="33"/>
  <c r="W245" i="33"/>
  <c r="W238" i="33"/>
  <c r="Y184" i="33"/>
  <c r="W244" i="33"/>
  <c r="AC182" i="33"/>
  <c r="W239" i="33"/>
  <c r="AC23" i="24"/>
  <c r="L270" i="33"/>
  <c r="L284" i="33" s="1"/>
  <c r="L242" i="33"/>
  <c r="L256" i="33" s="1"/>
  <c r="L266" i="33"/>
  <c r="L280" i="33" s="1"/>
  <c r="L238" i="33"/>
  <c r="L252" i="33" s="1"/>
  <c r="L271" i="33"/>
  <c r="L285" i="33" s="1"/>
  <c r="L243" i="33"/>
  <c r="L257" i="33" s="1"/>
  <c r="L263" i="33"/>
  <c r="L277" i="33" s="1"/>
  <c r="L235" i="33"/>
  <c r="L249" i="33" s="1"/>
  <c r="L267" i="33"/>
  <c r="L281" i="33" s="1"/>
  <c r="L239" i="33"/>
  <c r="L253" i="33" s="1"/>
  <c r="L265" i="33"/>
  <c r="L279" i="33" s="1"/>
  <c r="L237" i="33"/>
  <c r="L251" i="33" s="1"/>
  <c r="L264" i="33"/>
  <c r="L278" i="33" s="1"/>
  <c r="L236" i="33"/>
  <c r="L250" i="33" s="1"/>
  <c r="L272" i="33"/>
  <c r="L286" i="33" s="1"/>
  <c r="L244" i="33"/>
  <c r="L258" i="33" s="1"/>
  <c r="L273" i="33"/>
  <c r="L287" i="33" s="1"/>
  <c r="L245" i="33"/>
  <c r="L259" i="33" s="1"/>
  <c r="L274" i="33"/>
  <c r="L288" i="33" s="1"/>
  <c r="L246" i="33"/>
  <c r="L260" i="33" s="1"/>
  <c r="L269" i="33"/>
  <c r="L283" i="33" s="1"/>
  <c r="L241" i="33"/>
  <c r="L255" i="33" s="1"/>
  <c r="L268" i="33"/>
  <c r="L282" i="33" s="1"/>
  <c r="L240" i="33"/>
  <c r="L254" i="33" s="1"/>
  <c r="L14" i="24"/>
  <c r="N43" i="33"/>
  <c r="N57" i="33" s="1"/>
  <c r="W57" i="33"/>
  <c r="W157" i="33"/>
  <c r="R147" i="33"/>
  <c r="S147" i="33" s="1"/>
  <c r="S134" i="33" s="1"/>
  <c r="S17" i="24" s="1"/>
  <c r="Z161" i="33"/>
  <c r="Z148" i="33" s="1"/>
  <c r="Z18" i="24" s="1"/>
  <c r="T161" i="33"/>
  <c r="T148" i="33" s="1"/>
  <c r="T18" i="24" s="1"/>
  <c r="Z154" i="33"/>
  <c r="T154" i="33"/>
  <c r="R141" i="33"/>
  <c r="R155" i="33" s="1"/>
  <c r="Z155" i="33"/>
  <c r="T155" i="33"/>
  <c r="W55" i="33"/>
  <c r="W155" i="33"/>
  <c r="R146" i="33"/>
  <c r="R160" i="33" s="1"/>
  <c r="T160" i="33"/>
  <c r="Z160" i="33"/>
  <c r="Z151" i="33"/>
  <c r="T151" i="33"/>
  <c r="T152" i="33"/>
  <c r="Z152" i="33"/>
  <c r="T150" i="33"/>
  <c r="Z150" i="33"/>
  <c r="X46" i="33"/>
  <c r="X60" i="33" s="1"/>
  <c r="U37" i="33"/>
  <c r="U51" i="33" s="1"/>
  <c r="N35" i="33"/>
  <c r="N49" i="33" s="1"/>
  <c r="N45" i="33"/>
  <c r="N59" i="33" s="1"/>
  <c r="R144" i="33"/>
  <c r="R158" i="33" s="1"/>
  <c r="Z158" i="33"/>
  <c r="T158" i="33"/>
  <c r="R143" i="33"/>
  <c r="R157" i="33" s="1"/>
  <c r="Z157" i="33"/>
  <c r="T157" i="33"/>
  <c r="R139" i="33"/>
  <c r="R153" i="33" s="1"/>
  <c r="T153" i="33"/>
  <c r="Z153" i="33"/>
  <c r="U35" i="33"/>
  <c r="U49" i="33" s="1"/>
  <c r="R145" i="33"/>
  <c r="R159" i="33" s="1"/>
  <c r="Z159" i="33"/>
  <c r="T159" i="33"/>
  <c r="R135" i="33"/>
  <c r="R149" i="33" s="1"/>
  <c r="Z149" i="33"/>
  <c r="T149" i="33"/>
  <c r="R142" i="33"/>
  <c r="R156" i="33" s="1"/>
  <c r="Z156" i="33"/>
  <c r="T156" i="33"/>
  <c r="W72" i="33"/>
  <c r="W144" i="33"/>
  <c r="X44" i="33"/>
  <c r="X58" i="33" s="1"/>
  <c r="W71" i="33"/>
  <c r="W143" i="33"/>
  <c r="Y126" i="33"/>
  <c r="R140" i="33"/>
  <c r="R154" i="33" s="1"/>
  <c r="L164" i="33"/>
  <c r="L178" i="33" s="1"/>
  <c r="W73" i="33"/>
  <c r="W145" i="33"/>
  <c r="W64" i="33"/>
  <c r="W136" i="33"/>
  <c r="W140" i="33"/>
  <c r="W68" i="33"/>
  <c r="U86" i="33"/>
  <c r="W69" i="33"/>
  <c r="W141" i="33"/>
  <c r="W36" i="33"/>
  <c r="W250" i="33" s="1"/>
  <c r="N44" i="33"/>
  <c r="N58" i="33" s="1"/>
  <c r="W146" i="33"/>
  <c r="W74" i="33"/>
  <c r="W65" i="33"/>
  <c r="W137" i="33"/>
  <c r="W142" i="33"/>
  <c r="W70" i="33"/>
  <c r="AB123" i="33"/>
  <c r="R137" i="33"/>
  <c r="R151" i="33" s="1"/>
  <c r="Q185" i="33"/>
  <c r="Q143" i="33"/>
  <c r="W75" i="33"/>
  <c r="W62" i="33" s="1"/>
  <c r="W10" i="24" s="1"/>
  <c r="AD10" i="24" s="1"/>
  <c r="W147" i="33"/>
  <c r="W134" i="33" s="1"/>
  <c r="W17" i="24" s="1"/>
  <c r="Q179" i="33"/>
  <c r="Q137" i="33"/>
  <c r="U44" i="33"/>
  <c r="U58" i="33" s="1"/>
  <c r="S122" i="33"/>
  <c r="R136" i="33"/>
  <c r="R150" i="33" s="1"/>
  <c r="L144" i="33"/>
  <c r="L158" i="33" s="1"/>
  <c r="U78" i="33"/>
  <c r="W44" i="33"/>
  <c r="W258" i="33" s="1"/>
  <c r="S124" i="33"/>
  <c r="R138" i="33"/>
  <c r="R152" i="33" s="1"/>
  <c r="U41" i="33"/>
  <c r="U55" i="33" s="1"/>
  <c r="W63" i="33"/>
  <c r="W135" i="33"/>
  <c r="Q184" i="33"/>
  <c r="Q142" i="33"/>
  <c r="W138" i="33"/>
  <c r="W66" i="33"/>
  <c r="W67" i="33"/>
  <c r="W139" i="33"/>
  <c r="W37" i="33"/>
  <c r="W251" i="33" s="1"/>
  <c r="U36" i="33"/>
  <c r="U50" i="33" s="1"/>
  <c r="X45" i="33"/>
  <c r="X59" i="33" s="1"/>
  <c r="W45" i="33"/>
  <c r="W259" i="33" s="1"/>
  <c r="U87" i="33"/>
  <c r="W46" i="33"/>
  <c r="W260" i="33" s="1"/>
  <c r="X40" i="33"/>
  <c r="X54" i="33" s="1"/>
  <c r="X37" i="33"/>
  <c r="X51" i="33" s="1"/>
  <c r="U45" i="33"/>
  <c r="U59" i="33" s="1"/>
  <c r="U46" i="33"/>
  <c r="U60" i="33" s="1"/>
  <c r="U82" i="33"/>
  <c r="W35" i="33"/>
  <c r="W249" i="33" s="1"/>
  <c r="U88" i="33"/>
  <c r="N37" i="33"/>
  <c r="N51" i="33" s="1"/>
  <c r="N46" i="33"/>
  <c r="N60" i="33" s="1"/>
  <c r="W40" i="33"/>
  <c r="W254" i="33" s="1"/>
  <c r="U84" i="33"/>
  <c r="U83" i="33"/>
  <c r="U77" i="33"/>
  <c r="X35" i="33"/>
  <c r="X49" i="33" s="1"/>
  <c r="U40" i="33"/>
  <c r="U54" i="33" s="1"/>
  <c r="G54" i="33"/>
  <c r="N41" i="33"/>
  <c r="N55" i="33" s="1"/>
  <c r="G55" i="33"/>
  <c r="U39" i="33"/>
  <c r="U53" i="33" s="1"/>
  <c r="G53" i="33"/>
  <c r="U42" i="33"/>
  <c r="U56" i="33" s="1"/>
  <c r="N39" i="33"/>
  <c r="N53" i="33" s="1"/>
  <c r="W39" i="33"/>
  <c r="W253" i="33" s="1"/>
  <c r="N36" i="33"/>
  <c r="N50" i="33" s="1"/>
  <c r="G50" i="33"/>
  <c r="W38" i="33"/>
  <c r="W252" i="33" s="1"/>
  <c r="G52" i="33"/>
  <c r="U81" i="33"/>
  <c r="U85" i="33"/>
  <c r="G57" i="33"/>
  <c r="X43" i="33"/>
  <c r="X57" i="33" s="1"/>
  <c r="U43" i="33"/>
  <c r="U57" i="33" s="1"/>
  <c r="U38" i="33"/>
  <c r="U52" i="33" s="1"/>
  <c r="X42" i="33"/>
  <c r="X56" i="33" s="1"/>
  <c r="N47" i="33"/>
  <c r="N61" i="33" s="1"/>
  <c r="N48" i="33" s="1"/>
  <c r="N9" i="24" s="1"/>
  <c r="G61" i="33"/>
  <c r="N42" i="33"/>
  <c r="N56" i="33" s="1"/>
  <c r="N38" i="33"/>
  <c r="N52" i="33" s="1"/>
  <c r="W42" i="33"/>
  <c r="W256" i="33" s="1"/>
  <c r="F393" i="33"/>
  <c r="L405" i="33"/>
  <c r="L392" i="33" s="1"/>
  <c r="Q171" i="33"/>
  <c r="Q129" i="33"/>
  <c r="Q157" i="33" s="1"/>
  <c r="Q163" i="33"/>
  <c r="Q121" i="33"/>
  <c r="Q149" i="33" s="1"/>
  <c r="Q107" i="33"/>
  <c r="Q110" i="33"/>
  <c r="Q169" i="33"/>
  <c r="Q117" i="33"/>
  <c r="Q124" i="33"/>
  <c r="Q152" i="33" s="1"/>
  <c r="Q125" i="33"/>
  <c r="Q153" i="33" s="1"/>
  <c r="Q111" i="33"/>
  <c r="M201" i="33"/>
  <c r="M215" i="33" s="1"/>
  <c r="M229" i="33" s="1"/>
  <c r="AB201" i="33"/>
  <c r="Q201" i="33"/>
  <c r="G215" i="33"/>
  <c r="G271" i="33"/>
  <c r="X201" i="33"/>
  <c r="U201" i="33"/>
  <c r="U95" i="33"/>
  <c r="M95" i="33"/>
  <c r="M109" i="33" s="1"/>
  <c r="M123" i="33" s="1"/>
  <c r="AB95" i="33"/>
  <c r="G109" i="33"/>
  <c r="G165" i="33"/>
  <c r="Q300" i="33"/>
  <c r="AB300" i="33"/>
  <c r="AB314" i="33" s="1"/>
  <c r="U300" i="33"/>
  <c r="U314" i="33" s="1"/>
  <c r="G342" i="33"/>
  <c r="X300" i="33"/>
  <c r="X314" i="33" s="1"/>
  <c r="U428" i="33"/>
  <c r="Q428" i="33"/>
  <c r="AB428" i="33"/>
  <c r="X428" i="33"/>
  <c r="Q113" i="33"/>
  <c r="F31" i="35"/>
  <c r="AB101" i="33"/>
  <c r="G171" i="33"/>
  <c r="M101" i="33"/>
  <c r="M115" i="33" s="1"/>
  <c r="M129" i="33" s="1"/>
  <c r="G115" i="33"/>
  <c r="U101" i="33"/>
  <c r="G397" i="33"/>
  <c r="X355" i="33"/>
  <c r="X369" i="33" s="1"/>
  <c r="X383" i="33" s="1"/>
  <c r="U355" i="33"/>
  <c r="U369" i="33" s="1"/>
  <c r="U383" i="33" s="1"/>
  <c r="Q355" i="33"/>
  <c r="Q369" i="33" s="1"/>
  <c r="Q383" i="33" s="1"/>
  <c r="AB355" i="33"/>
  <c r="AB369" i="33" s="1"/>
  <c r="AB383" i="33" s="1"/>
  <c r="AB203" i="33"/>
  <c r="G217" i="33"/>
  <c r="Q203" i="33"/>
  <c r="M203" i="33"/>
  <c r="M217" i="33" s="1"/>
  <c r="M231" i="33" s="1"/>
  <c r="G273" i="33"/>
  <c r="U203" i="33"/>
  <c r="X203" i="33"/>
  <c r="X429" i="33"/>
  <c r="Q429" i="33"/>
  <c r="U429" i="33"/>
  <c r="AB429" i="33"/>
  <c r="AB425" i="33"/>
  <c r="X425" i="33"/>
  <c r="U425" i="33"/>
  <c r="Q425" i="33"/>
  <c r="Q204" i="33"/>
  <c r="G218" i="33"/>
  <c r="M204" i="33"/>
  <c r="M218" i="33" s="1"/>
  <c r="M232" i="33" s="1"/>
  <c r="G274" i="33"/>
  <c r="AB204" i="33"/>
  <c r="X204" i="33"/>
  <c r="U204" i="33"/>
  <c r="AB358" i="33"/>
  <c r="AB372" i="33" s="1"/>
  <c r="AB386" i="33" s="1"/>
  <c r="X358" i="33"/>
  <c r="X372" i="33" s="1"/>
  <c r="X386" i="33" s="1"/>
  <c r="G400" i="33"/>
  <c r="U358" i="33"/>
  <c r="U372" i="33" s="1"/>
  <c r="U386" i="33" s="1"/>
  <c r="Q358" i="33"/>
  <c r="Q372" i="33" s="1"/>
  <c r="Q386" i="33" s="1"/>
  <c r="AB198" i="33"/>
  <c r="X198" i="33"/>
  <c r="Q198" i="33"/>
  <c r="G268" i="33"/>
  <c r="U198" i="33"/>
  <c r="G212" i="33"/>
  <c r="M198" i="33"/>
  <c r="M212" i="33" s="1"/>
  <c r="M226" i="33" s="1"/>
  <c r="Q108" i="33"/>
  <c r="X301" i="33"/>
  <c r="X315" i="33" s="1"/>
  <c r="G343" i="33"/>
  <c r="U301" i="33"/>
  <c r="U315" i="33" s="1"/>
  <c r="Q301" i="33"/>
  <c r="AB301" i="33"/>
  <c r="AB315" i="33" s="1"/>
  <c r="AB351" i="33"/>
  <c r="AB365" i="33" s="1"/>
  <c r="AB379" i="33" s="1"/>
  <c r="G393" i="33"/>
  <c r="X351" i="33"/>
  <c r="X365" i="33" s="1"/>
  <c r="X379" i="33" s="1"/>
  <c r="U351" i="33"/>
  <c r="U365" i="33" s="1"/>
  <c r="U379" i="33" s="1"/>
  <c r="Q351" i="33"/>
  <c r="Q365" i="33" s="1"/>
  <c r="Q379" i="33" s="1"/>
  <c r="Q202" i="33"/>
  <c r="U202" i="33"/>
  <c r="M202" i="33"/>
  <c r="M216" i="33" s="1"/>
  <c r="M230" i="33" s="1"/>
  <c r="G272" i="33"/>
  <c r="AB202" i="33"/>
  <c r="G216" i="33"/>
  <c r="X202" i="33"/>
  <c r="G403" i="33"/>
  <c r="Q361" i="33"/>
  <c r="Q375" i="33" s="1"/>
  <c r="Q389" i="33" s="1"/>
  <c r="AB361" i="33"/>
  <c r="AB375" i="33" s="1"/>
  <c r="AB389" i="33" s="1"/>
  <c r="X361" i="33"/>
  <c r="X375" i="33" s="1"/>
  <c r="X389" i="33" s="1"/>
  <c r="U361" i="33"/>
  <c r="U375" i="33" s="1"/>
  <c r="U389" i="33" s="1"/>
  <c r="X199" i="33"/>
  <c r="G213" i="33"/>
  <c r="AB199" i="33"/>
  <c r="U199" i="33"/>
  <c r="G269" i="33"/>
  <c r="Q199" i="33"/>
  <c r="M199" i="33"/>
  <c r="M213" i="33" s="1"/>
  <c r="M227" i="33" s="1"/>
  <c r="Q304" i="33"/>
  <c r="AB304" i="33"/>
  <c r="AB318" i="33" s="1"/>
  <c r="G346" i="33"/>
  <c r="X304" i="33"/>
  <c r="X318" i="33" s="1"/>
  <c r="U304" i="33"/>
  <c r="U318" i="33" s="1"/>
  <c r="AB200" i="33"/>
  <c r="G270" i="33"/>
  <c r="X200" i="33"/>
  <c r="G214" i="33"/>
  <c r="U200" i="33"/>
  <c r="Q200" i="33"/>
  <c r="M200" i="33"/>
  <c r="M214" i="33" s="1"/>
  <c r="M228" i="33" s="1"/>
  <c r="U356" i="33"/>
  <c r="U370" i="33" s="1"/>
  <c r="U384" i="33" s="1"/>
  <c r="X356" i="33"/>
  <c r="X370" i="33" s="1"/>
  <c r="X384" i="33" s="1"/>
  <c r="Q356" i="33"/>
  <c r="Q370" i="33" s="1"/>
  <c r="Q384" i="33" s="1"/>
  <c r="G398" i="33"/>
  <c r="AB356" i="33"/>
  <c r="AB370" i="33" s="1"/>
  <c r="AB384" i="33" s="1"/>
  <c r="Q296" i="33"/>
  <c r="U296" i="33"/>
  <c r="U310" i="33" s="1"/>
  <c r="AB296" i="33"/>
  <c r="AB310" i="33" s="1"/>
  <c r="G338" i="33"/>
  <c r="X296" i="33"/>
  <c r="X310" i="33" s="1"/>
  <c r="AB431" i="33"/>
  <c r="Q431" i="33"/>
  <c r="X431" i="33"/>
  <c r="U431" i="33"/>
  <c r="G263" i="33"/>
  <c r="Q193" i="33"/>
  <c r="G207" i="33"/>
  <c r="M193" i="33"/>
  <c r="M207" i="33" s="1"/>
  <c r="M221" i="33" s="1"/>
  <c r="AB193" i="33"/>
  <c r="U193" i="33"/>
  <c r="X193" i="33"/>
  <c r="AB360" i="33"/>
  <c r="AB374" i="33" s="1"/>
  <c r="AB388" i="33" s="1"/>
  <c r="G402" i="33"/>
  <c r="X360" i="33"/>
  <c r="X374" i="33" s="1"/>
  <c r="X388" i="33" s="1"/>
  <c r="U360" i="33"/>
  <c r="U374" i="33" s="1"/>
  <c r="U388" i="33" s="1"/>
  <c r="Q360" i="33"/>
  <c r="Q374" i="33" s="1"/>
  <c r="Q388" i="33" s="1"/>
  <c r="M103" i="33"/>
  <c r="M117" i="33" s="1"/>
  <c r="M131" i="33" s="1"/>
  <c r="AB103" i="33"/>
  <c r="U103" i="33"/>
  <c r="G117" i="33"/>
  <c r="G173" i="33"/>
  <c r="G399" i="33"/>
  <c r="AB357" i="33"/>
  <c r="AB371" i="33" s="1"/>
  <c r="AB385" i="33" s="1"/>
  <c r="U357" i="33"/>
  <c r="U371" i="33" s="1"/>
  <c r="U385" i="33" s="1"/>
  <c r="X357" i="33"/>
  <c r="X371" i="33" s="1"/>
  <c r="X385" i="33" s="1"/>
  <c r="Q357" i="33"/>
  <c r="Q371" i="33" s="1"/>
  <c r="Q385" i="33" s="1"/>
  <c r="G118" i="33"/>
  <c r="M104" i="33"/>
  <c r="M118" i="33" s="1"/>
  <c r="M132" i="33" s="1"/>
  <c r="U104" i="33"/>
  <c r="G174" i="33"/>
  <c r="AB104" i="33"/>
  <c r="U194" i="33"/>
  <c r="X194" i="33"/>
  <c r="Q194" i="33"/>
  <c r="M194" i="33"/>
  <c r="M208" i="33" s="1"/>
  <c r="M222" i="33" s="1"/>
  <c r="G264" i="33"/>
  <c r="G208" i="33"/>
  <c r="AB194" i="33"/>
  <c r="Q132" i="33"/>
  <c r="Q160" i="33" s="1"/>
  <c r="AB93" i="33"/>
  <c r="G163" i="33"/>
  <c r="U93" i="33"/>
  <c r="M93" i="33"/>
  <c r="M107" i="33" s="1"/>
  <c r="M121" i="33" s="1"/>
  <c r="G107" i="33"/>
  <c r="G172" i="33"/>
  <c r="U102" i="33"/>
  <c r="M102" i="33"/>
  <c r="M116" i="33" s="1"/>
  <c r="M130" i="33" s="1"/>
  <c r="G116" i="33"/>
  <c r="AB102" i="33"/>
  <c r="G345" i="33"/>
  <c r="X303" i="33"/>
  <c r="X317" i="33" s="1"/>
  <c r="AB303" i="33"/>
  <c r="AB317" i="33" s="1"/>
  <c r="U303" i="33"/>
  <c r="U317" i="33" s="1"/>
  <c r="Q303" i="33"/>
  <c r="AB434" i="33"/>
  <c r="X434" i="33"/>
  <c r="U434" i="33"/>
  <c r="Q434" i="33"/>
  <c r="U354" i="33"/>
  <c r="U368" i="33" s="1"/>
  <c r="U382" i="33" s="1"/>
  <c r="Q354" i="33"/>
  <c r="Q368" i="33" s="1"/>
  <c r="Q382" i="33" s="1"/>
  <c r="G396" i="33"/>
  <c r="AB354" i="33"/>
  <c r="AB368" i="33" s="1"/>
  <c r="AB382" i="33" s="1"/>
  <c r="X354" i="33"/>
  <c r="X368" i="33" s="1"/>
  <c r="X382" i="33" s="1"/>
  <c r="AB352" i="33"/>
  <c r="AB366" i="33" s="1"/>
  <c r="AB380" i="33" s="1"/>
  <c r="G394" i="33"/>
  <c r="X352" i="33"/>
  <c r="X366" i="33" s="1"/>
  <c r="X380" i="33" s="1"/>
  <c r="U352" i="33"/>
  <c r="U366" i="33" s="1"/>
  <c r="U380" i="33" s="1"/>
  <c r="Q352" i="33"/>
  <c r="Q366" i="33" s="1"/>
  <c r="Q380" i="33" s="1"/>
  <c r="Q197" i="33"/>
  <c r="AB197" i="33"/>
  <c r="G211" i="33"/>
  <c r="X197" i="33"/>
  <c r="U197" i="33"/>
  <c r="G267" i="33"/>
  <c r="M197" i="33"/>
  <c r="M211" i="33" s="1"/>
  <c r="M225" i="33" s="1"/>
  <c r="G341" i="33"/>
  <c r="X299" i="33"/>
  <c r="X313" i="33" s="1"/>
  <c r="AB299" i="33"/>
  <c r="AB313" i="33" s="1"/>
  <c r="U299" i="33"/>
  <c r="U313" i="33" s="1"/>
  <c r="Q299" i="33"/>
  <c r="U362" i="33"/>
  <c r="U376" i="33" s="1"/>
  <c r="U390" i="33" s="1"/>
  <c r="Q362" i="33"/>
  <c r="Q376" i="33" s="1"/>
  <c r="Q390" i="33" s="1"/>
  <c r="G404" i="33"/>
  <c r="AB362" i="33"/>
  <c r="AB376" i="33" s="1"/>
  <c r="AB390" i="33" s="1"/>
  <c r="X362" i="33"/>
  <c r="X376" i="33" s="1"/>
  <c r="X390" i="33" s="1"/>
  <c r="Q122" i="33"/>
  <c r="Q150" i="33" s="1"/>
  <c r="Q118" i="33"/>
  <c r="Q173" i="33"/>
  <c r="G111" i="33"/>
  <c r="G167" i="33"/>
  <c r="U97" i="33"/>
  <c r="AB97" i="33"/>
  <c r="M97" i="33"/>
  <c r="M111" i="33" s="1"/>
  <c r="M125" i="33" s="1"/>
  <c r="X293" i="33"/>
  <c r="X307" i="33" s="1"/>
  <c r="G335" i="33"/>
  <c r="U293" i="33"/>
  <c r="U307" i="33" s="1"/>
  <c r="Q293" i="33"/>
  <c r="AB293" i="33"/>
  <c r="AB307" i="33" s="1"/>
  <c r="AB302" i="33"/>
  <c r="AB316" i="33" s="1"/>
  <c r="U302" i="33"/>
  <c r="U316" i="33" s="1"/>
  <c r="Q302" i="33"/>
  <c r="X302" i="33"/>
  <c r="X316" i="33" s="1"/>
  <c r="G344" i="33"/>
  <c r="X433" i="33"/>
  <c r="AB433" i="33"/>
  <c r="U433" i="33"/>
  <c r="Q433" i="33"/>
  <c r="G265" i="33"/>
  <c r="U195" i="33"/>
  <c r="X195" i="33"/>
  <c r="G209" i="33"/>
  <c r="Q195" i="33"/>
  <c r="M195" i="33"/>
  <c r="M209" i="33" s="1"/>
  <c r="M223" i="33" s="1"/>
  <c r="AB195" i="33"/>
  <c r="X196" i="33"/>
  <c r="Q196" i="33"/>
  <c r="G266" i="33"/>
  <c r="U196" i="33"/>
  <c r="M196" i="33"/>
  <c r="M210" i="33" s="1"/>
  <c r="M224" i="33" s="1"/>
  <c r="G210" i="33"/>
  <c r="AB196" i="33"/>
  <c r="G164" i="33"/>
  <c r="G108" i="33"/>
  <c r="AB94" i="33"/>
  <c r="M94" i="33"/>
  <c r="M108" i="33" s="1"/>
  <c r="M122" i="33" s="1"/>
  <c r="U94" i="33"/>
  <c r="F29" i="35"/>
  <c r="X297" i="33"/>
  <c r="X311" i="33" s="1"/>
  <c r="Q297" i="33"/>
  <c r="G339" i="33"/>
  <c r="U297" i="33"/>
  <c r="U311" i="33" s="1"/>
  <c r="AB297" i="33"/>
  <c r="AB311" i="33" s="1"/>
  <c r="AB423" i="33"/>
  <c r="X423" i="33"/>
  <c r="U423" i="33"/>
  <c r="Q423" i="33"/>
  <c r="U432" i="33"/>
  <c r="AB432" i="33"/>
  <c r="X432" i="33"/>
  <c r="Q432" i="33"/>
  <c r="G395" i="33"/>
  <c r="Q353" i="33"/>
  <c r="Q367" i="33" s="1"/>
  <c r="Q381" i="33" s="1"/>
  <c r="AB353" i="33"/>
  <c r="AB367" i="33" s="1"/>
  <c r="AB381" i="33" s="1"/>
  <c r="X353" i="33"/>
  <c r="X367" i="33" s="1"/>
  <c r="X381" i="33" s="1"/>
  <c r="U353" i="33"/>
  <c r="U367" i="33" s="1"/>
  <c r="U381" i="33" s="1"/>
  <c r="X430" i="33"/>
  <c r="U430" i="33"/>
  <c r="Q430" i="33"/>
  <c r="AB430" i="33"/>
  <c r="AB96" i="33"/>
  <c r="M96" i="33"/>
  <c r="M110" i="33" s="1"/>
  <c r="M124" i="33" s="1"/>
  <c r="G110" i="33"/>
  <c r="G166" i="33"/>
  <c r="U96" i="33"/>
  <c r="AB98" i="33"/>
  <c r="M98" i="33"/>
  <c r="M112" i="33" s="1"/>
  <c r="M126" i="33" s="1"/>
  <c r="U98" i="33"/>
  <c r="G112" i="33"/>
  <c r="G168" i="33"/>
  <c r="AB294" i="33"/>
  <c r="AB308" i="33" s="1"/>
  <c r="X294" i="33"/>
  <c r="X308" i="33" s="1"/>
  <c r="U294" i="33"/>
  <c r="U308" i="33" s="1"/>
  <c r="Q294" i="33"/>
  <c r="G336" i="33"/>
  <c r="F12" i="35"/>
  <c r="G401" i="33"/>
  <c r="AB359" i="33"/>
  <c r="AB373" i="33" s="1"/>
  <c r="AB387" i="33" s="1"/>
  <c r="X359" i="33"/>
  <c r="X373" i="33" s="1"/>
  <c r="X387" i="33" s="1"/>
  <c r="U359" i="33"/>
  <c r="U373" i="33" s="1"/>
  <c r="U387" i="33" s="1"/>
  <c r="Q359" i="33"/>
  <c r="Q373" i="33" s="1"/>
  <c r="Q387" i="33" s="1"/>
  <c r="Q427" i="33"/>
  <c r="AB427" i="33"/>
  <c r="X427" i="33"/>
  <c r="U427" i="33"/>
  <c r="M99" i="33"/>
  <c r="M113" i="33" s="1"/>
  <c r="M127" i="33" s="1"/>
  <c r="U99" i="33"/>
  <c r="G113" i="33"/>
  <c r="AB99" i="33"/>
  <c r="G169" i="33"/>
  <c r="X295" i="33"/>
  <c r="X309" i="33" s="1"/>
  <c r="G337" i="33"/>
  <c r="AB295" i="33"/>
  <c r="AB309" i="33" s="1"/>
  <c r="U295" i="33"/>
  <c r="U309" i="33" s="1"/>
  <c r="Q295" i="33"/>
  <c r="G114" i="33"/>
  <c r="G170" i="33"/>
  <c r="M100" i="33"/>
  <c r="M114" i="33" s="1"/>
  <c r="M128" i="33" s="1"/>
  <c r="AB100" i="33"/>
  <c r="U100" i="33"/>
  <c r="AB426" i="33"/>
  <c r="X426" i="33"/>
  <c r="U426" i="33"/>
  <c r="Q426" i="33"/>
  <c r="AB298" i="33"/>
  <c r="AB312" i="33" s="1"/>
  <c r="Q298" i="33"/>
  <c r="X298" i="33"/>
  <c r="X312" i="33" s="1"/>
  <c r="U298" i="33"/>
  <c r="U312" i="33" s="1"/>
  <c r="G340" i="33"/>
  <c r="X424" i="33"/>
  <c r="AB424" i="33"/>
  <c r="U424" i="33"/>
  <c r="Q424" i="33"/>
  <c r="AB305" i="33"/>
  <c r="U305" i="33"/>
  <c r="Q305" i="33"/>
  <c r="Q319" i="33" s="1"/>
  <c r="G347" i="33"/>
  <c r="X305" i="33"/>
  <c r="G292" i="33"/>
  <c r="M105" i="33"/>
  <c r="M119" i="33" s="1"/>
  <c r="G175" i="33"/>
  <c r="AB105" i="33"/>
  <c r="U105" i="33"/>
  <c r="X205" i="33"/>
  <c r="X192" i="33" s="1"/>
  <c r="X23" i="24" s="1"/>
  <c r="U205" i="33"/>
  <c r="U192" i="33" s="1"/>
  <c r="U23" i="24" s="1"/>
  <c r="G275" i="33"/>
  <c r="M205" i="33"/>
  <c r="G219" i="33"/>
  <c r="AB205" i="33"/>
  <c r="AB192" i="33" s="1"/>
  <c r="AB23" i="24" s="1"/>
  <c r="Q205" i="33"/>
  <c r="G192" i="33"/>
  <c r="G23" i="24" s="1"/>
  <c r="X435" i="33"/>
  <c r="X422" i="33" s="1"/>
  <c r="X45" i="24" s="1"/>
  <c r="U435" i="33"/>
  <c r="U422" i="33" s="1"/>
  <c r="U45" i="24" s="1"/>
  <c r="Q435" i="33"/>
  <c r="Q422" i="33" s="1"/>
  <c r="Q45" i="24" s="1"/>
  <c r="AB435" i="33"/>
  <c r="AB422" i="33" s="1"/>
  <c r="AB45" i="24" s="1"/>
  <c r="G422" i="33"/>
  <c r="G45" i="24" s="1"/>
  <c r="Q363" i="33"/>
  <c r="Q377" i="33" s="1"/>
  <c r="Q391" i="33" s="1"/>
  <c r="Q378" i="33" s="1"/>
  <c r="Q40" i="24" s="1"/>
  <c r="AB363" i="33"/>
  <c r="X363" i="33"/>
  <c r="U363" i="33"/>
  <c r="G405" i="33"/>
  <c r="G350" i="33"/>
  <c r="L38" i="24"/>
  <c r="L24" i="24"/>
  <c r="Y432" i="33"/>
  <c r="Z432" i="33"/>
  <c r="S432" i="33"/>
  <c r="AC432" i="33"/>
  <c r="T432" i="33"/>
  <c r="Z429" i="33"/>
  <c r="AC429" i="33"/>
  <c r="T429" i="33"/>
  <c r="Y429" i="33"/>
  <c r="S429" i="33"/>
  <c r="S427" i="33"/>
  <c r="Z427" i="33"/>
  <c r="Y427" i="33"/>
  <c r="T427" i="33"/>
  <c r="AC427" i="33"/>
  <c r="Z428" i="33"/>
  <c r="Y428" i="33"/>
  <c r="S428" i="33"/>
  <c r="T428" i="33"/>
  <c r="AC428" i="33"/>
  <c r="S425" i="33"/>
  <c r="Y425" i="33"/>
  <c r="Z425" i="33"/>
  <c r="T425" i="33"/>
  <c r="AC425" i="33"/>
  <c r="Y431" i="33"/>
  <c r="S431" i="33"/>
  <c r="T431" i="33"/>
  <c r="AC431" i="33"/>
  <c r="Z431" i="33"/>
  <c r="Y426" i="33"/>
  <c r="S426" i="33"/>
  <c r="Z426" i="33"/>
  <c r="T426" i="33"/>
  <c r="AC426" i="33"/>
  <c r="Y423" i="33"/>
  <c r="AC423" i="33"/>
  <c r="S423" i="33"/>
  <c r="Z423" i="33"/>
  <c r="T423" i="33"/>
  <c r="AC122" i="33"/>
  <c r="AC124" i="33"/>
  <c r="Y122" i="33"/>
  <c r="Z304" i="33"/>
  <c r="Z318" i="33" s="1"/>
  <c r="AC304" i="33"/>
  <c r="AC318" i="33" s="1"/>
  <c r="T304" i="33"/>
  <c r="T318" i="33" s="1"/>
  <c r="S304" i="33"/>
  <c r="S318" i="33" s="1"/>
  <c r="R346" i="33"/>
  <c r="Y304" i="33"/>
  <c r="Y318" i="33" s="1"/>
  <c r="AC347" i="33"/>
  <c r="AC334" i="33" s="1"/>
  <c r="AC35" i="24" s="1"/>
  <c r="S347" i="33"/>
  <c r="S334" i="33" s="1"/>
  <c r="S35" i="24" s="1"/>
  <c r="R334" i="33"/>
  <c r="R35" i="24" s="1"/>
  <c r="T347" i="33"/>
  <c r="T334" i="33" s="1"/>
  <c r="T35" i="24" s="1"/>
  <c r="Y347" i="33"/>
  <c r="Y334" i="33" s="1"/>
  <c r="Y35" i="24" s="1"/>
  <c r="Z347" i="33"/>
  <c r="Z334" i="33" s="1"/>
  <c r="Z35" i="24" s="1"/>
  <c r="AB122" i="33"/>
  <c r="R338" i="33"/>
  <c r="Z296" i="33"/>
  <c r="Z310" i="33" s="1"/>
  <c r="Y296" i="33"/>
  <c r="Y310" i="33" s="1"/>
  <c r="T296" i="33"/>
  <c r="T310" i="33" s="1"/>
  <c r="AC296" i="33"/>
  <c r="AC310" i="33" s="1"/>
  <c r="S296" i="33"/>
  <c r="S310" i="33" s="1"/>
  <c r="AC340" i="33"/>
  <c r="S340" i="33"/>
  <c r="Y340" i="33"/>
  <c r="T340" i="33"/>
  <c r="Z340" i="33"/>
  <c r="R343" i="33"/>
  <c r="Z301" i="33"/>
  <c r="Z315" i="33" s="1"/>
  <c r="S301" i="33"/>
  <c r="S315" i="33" s="1"/>
  <c r="AC301" i="33"/>
  <c r="AC315" i="33" s="1"/>
  <c r="T301" i="33"/>
  <c r="T315" i="33" s="1"/>
  <c r="Y301" i="33"/>
  <c r="Y315" i="33" s="1"/>
  <c r="Z341" i="33"/>
  <c r="AC341" i="33"/>
  <c r="Y341" i="33"/>
  <c r="S341" i="33"/>
  <c r="T341" i="33"/>
  <c r="R342" i="33"/>
  <c r="S300" i="33"/>
  <c r="S314" i="33" s="1"/>
  <c r="Z300" i="33"/>
  <c r="Z314" i="33" s="1"/>
  <c r="Y300" i="33"/>
  <c r="Y314" i="33" s="1"/>
  <c r="AC300" i="33"/>
  <c r="AC314" i="33" s="1"/>
  <c r="T300" i="33"/>
  <c r="T314" i="33" s="1"/>
  <c r="Z302" i="33"/>
  <c r="Z316" i="33" s="1"/>
  <c r="S302" i="33"/>
  <c r="S316" i="33" s="1"/>
  <c r="Y302" i="33"/>
  <c r="Y316" i="33" s="1"/>
  <c r="T302" i="33"/>
  <c r="T316" i="33" s="1"/>
  <c r="AC302" i="33"/>
  <c r="AC316" i="33" s="1"/>
  <c r="R344" i="33"/>
  <c r="S297" i="33"/>
  <c r="S311" i="33" s="1"/>
  <c r="Y297" i="33"/>
  <c r="Y311" i="33" s="1"/>
  <c r="AC297" i="33"/>
  <c r="AC311" i="33" s="1"/>
  <c r="T297" i="33"/>
  <c r="T311" i="33" s="1"/>
  <c r="Z297" i="33"/>
  <c r="Z311" i="33" s="1"/>
  <c r="R339" i="33"/>
  <c r="Z295" i="33"/>
  <c r="Z309" i="33" s="1"/>
  <c r="R337" i="33"/>
  <c r="Y295" i="33"/>
  <c r="Y309" i="33" s="1"/>
  <c r="AC295" i="33"/>
  <c r="AC309" i="33" s="1"/>
  <c r="T295" i="33"/>
  <c r="T309" i="33" s="1"/>
  <c r="S295" i="33"/>
  <c r="S309" i="33" s="1"/>
  <c r="R335" i="33"/>
  <c r="T293" i="33"/>
  <c r="T307" i="33" s="1"/>
  <c r="AC293" i="33"/>
  <c r="AC307" i="33" s="1"/>
  <c r="S293" i="33"/>
  <c r="S307" i="33" s="1"/>
  <c r="Y293" i="33"/>
  <c r="Y307" i="33" s="1"/>
  <c r="Z293" i="33"/>
  <c r="Z307" i="33" s="1"/>
  <c r="Y303" i="33"/>
  <c r="Y317" i="33" s="1"/>
  <c r="T303" i="33"/>
  <c r="T317" i="33" s="1"/>
  <c r="R345" i="33"/>
  <c r="Z303" i="33"/>
  <c r="Z317" i="33" s="1"/>
  <c r="S303" i="33"/>
  <c r="S317" i="33" s="1"/>
  <c r="AC303" i="33"/>
  <c r="AC317" i="33" s="1"/>
  <c r="Z336" i="33"/>
  <c r="T336" i="33"/>
  <c r="S336" i="33"/>
  <c r="Y336" i="33"/>
  <c r="AC336" i="33"/>
  <c r="S123" i="33"/>
  <c r="Z188" i="33"/>
  <c r="Y124" i="33"/>
  <c r="AC123" i="33"/>
  <c r="AB124" i="33"/>
  <c r="S188" i="33"/>
  <c r="T188" i="33"/>
  <c r="AC188" i="33"/>
  <c r="Y123" i="33"/>
  <c r="L233" i="33"/>
  <c r="AA189" i="33"/>
  <c r="L133" i="33"/>
  <c r="L147" i="33" s="1"/>
  <c r="L106" i="33"/>
  <c r="L15" i="24" s="1"/>
  <c r="Q189" i="33"/>
  <c r="U47" i="33"/>
  <c r="U61" i="33" s="1"/>
  <c r="U48" i="33" s="1"/>
  <c r="U9" i="24" s="1"/>
  <c r="U89" i="33"/>
  <c r="W47" i="33"/>
  <c r="W261" i="33" s="1"/>
  <c r="W248" i="33" s="1"/>
  <c r="W27" i="24" s="1"/>
  <c r="X47" i="33"/>
  <c r="X61" i="33" s="1"/>
  <c r="X48" i="33" s="1"/>
  <c r="X9" i="24" s="1"/>
  <c r="Y182" i="33"/>
  <c r="Z182" i="33"/>
  <c r="AC184" i="33"/>
  <c r="S184" i="33"/>
  <c r="Z186" i="33"/>
  <c r="T186" i="33"/>
  <c r="AC126" i="33"/>
  <c r="S126" i="33"/>
  <c r="AB126" i="33"/>
  <c r="S182" i="33"/>
  <c r="Y186" i="33"/>
  <c r="AC186" i="33"/>
  <c r="T182" i="33"/>
  <c r="Y128" i="33"/>
  <c r="AB128" i="33"/>
  <c r="AC128" i="33"/>
  <c r="T184" i="33"/>
  <c r="S128" i="33"/>
  <c r="Z184" i="33"/>
  <c r="Z178" i="33"/>
  <c r="T178" i="33"/>
  <c r="S178" i="33"/>
  <c r="Y178" i="33"/>
  <c r="AC178" i="33"/>
  <c r="AB121" i="33"/>
  <c r="S121" i="33"/>
  <c r="AC121" i="33"/>
  <c r="Y121" i="33"/>
  <c r="T187" i="33"/>
  <c r="AC187" i="33"/>
  <c r="Z187" i="33"/>
  <c r="Y187" i="33"/>
  <c r="S187" i="33"/>
  <c r="S189" i="33"/>
  <c r="Y189" i="33"/>
  <c r="T189" i="33"/>
  <c r="Z189" i="33"/>
  <c r="AC189" i="33"/>
  <c r="T179" i="33"/>
  <c r="AC179" i="33"/>
  <c r="Y179" i="33"/>
  <c r="Z179" i="33"/>
  <c r="S179" i="33"/>
  <c r="T183" i="33"/>
  <c r="AC183" i="33"/>
  <c r="S183" i="33"/>
  <c r="Z183" i="33"/>
  <c r="Y183" i="33"/>
  <c r="AB125" i="33"/>
  <c r="S125" i="33"/>
  <c r="AC125" i="33"/>
  <c r="Y125" i="33"/>
  <c r="AB129" i="33"/>
  <c r="Y129" i="33"/>
  <c r="AC129" i="33"/>
  <c r="S129" i="33"/>
  <c r="AB131" i="33"/>
  <c r="Y131" i="33"/>
  <c r="S131" i="33"/>
  <c r="AC131" i="33"/>
  <c r="Z177" i="33"/>
  <c r="T177" i="33"/>
  <c r="S177" i="33"/>
  <c r="AC177" i="33"/>
  <c r="Y177" i="33"/>
  <c r="Z185" i="33"/>
  <c r="Y185" i="33"/>
  <c r="AC185" i="33"/>
  <c r="T185" i="33"/>
  <c r="S185" i="33"/>
  <c r="T180" i="33"/>
  <c r="Z180" i="33"/>
  <c r="S180" i="33"/>
  <c r="Y180" i="33"/>
  <c r="AC180" i="33"/>
  <c r="S130" i="33"/>
  <c r="Y130" i="33"/>
  <c r="AB130" i="33"/>
  <c r="AC130" i="33"/>
  <c r="AB127" i="33"/>
  <c r="Y127" i="33"/>
  <c r="AC127" i="33"/>
  <c r="S127" i="33"/>
  <c r="Z181" i="33"/>
  <c r="AC181" i="33"/>
  <c r="Y181" i="33"/>
  <c r="S181" i="33"/>
  <c r="T181" i="33"/>
  <c r="S133" i="33"/>
  <c r="Y133" i="33"/>
  <c r="AC133" i="33"/>
  <c r="AB133" i="33"/>
  <c r="AC132" i="33"/>
  <c r="S132" i="33"/>
  <c r="AB132" i="33"/>
  <c r="Y132" i="33"/>
  <c r="L143" i="33" l="1"/>
  <c r="L157" i="33" s="1"/>
  <c r="L140" i="33"/>
  <c r="L154" i="33" s="1"/>
  <c r="L141" i="33"/>
  <c r="L155" i="33" s="1"/>
  <c r="L137" i="33"/>
  <c r="L151" i="33" s="1"/>
  <c r="L139" i="33"/>
  <c r="L153" i="33" s="1"/>
  <c r="L364" i="33"/>
  <c r="L39" i="24" s="1"/>
  <c r="L391" i="33"/>
  <c r="L378" i="33" s="1"/>
  <c r="L40" i="24" s="1"/>
  <c r="L174" i="33"/>
  <c r="L188" i="33" s="1"/>
  <c r="L135" i="33"/>
  <c r="L149" i="33" s="1"/>
  <c r="W38" i="24"/>
  <c r="G38" i="24"/>
  <c r="L166" i="33"/>
  <c r="L180" i="33" s="1"/>
  <c r="Q364" i="33"/>
  <c r="Q39" i="24" s="1"/>
  <c r="L142" i="33"/>
  <c r="L156" i="33" s="1"/>
  <c r="L145" i="33"/>
  <c r="L159" i="33" s="1"/>
  <c r="U350" i="33"/>
  <c r="U377" i="33"/>
  <c r="X350" i="33"/>
  <c r="X377" i="33"/>
  <c r="W364" i="33"/>
  <c r="W39" i="24" s="1"/>
  <c r="W391" i="33"/>
  <c r="W378" i="33" s="1"/>
  <c r="W40" i="24" s="1"/>
  <c r="AB350" i="33"/>
  <c r="AB377" i="33"/>
  <c r="W32" i="24"/>
  <c r="T32" i="24"/>
  <c r="Y32" i="24"/>
  <c r="G32" i="24"/>
  <c r="Z32" i="24"/>
  <c r="S32" i="24"/>
  <c r="Y325" i="33"/>
  <c r="U321" i="33"/>
  <c r="Y321" i="33"/>
  <c r="Y323" i="33"/>
  <c r="S325" i="33"/>
  <c r="AC328" i="33"/>
  <c r="Y324" i="33"/>
  <c r="Q333" i="33"/>
  <c r="U326" i="33"/>
  <c r="X324" i="33"/>
  <c r="U329" i="33"/>
  <c r="U328" i="33"/>
  <c r="AC331" i="33"/>
  <c r="S321" i="33"/>
  <c r="Y328" i="33"/>
  <c r="Z324" i="33"/>
  <c r="X326" i="33"/>
  <c r="X323" i="33"/>
  <c r="AB325" i="33"/>
  <c r="X330" i="33"/>
  <c r="X321" i="33"/>
  <c r="U327" i="33"/>
  <c r="U332" i="33"/>
  <c r="AB328" i="33"/>
  <c r="AC323" i="33"/>
  <c r="T324" i="33"/>
  <c r="AC321" i="33"/>
  <c r="Z328" i="33"/>
  <c r="AB324" i="33"/>
  <c r="S328" i="33"/>
  <c r="U322" i="33"/>
  <c r="U330" i="33"/>
  <c r="Z325" i="33"/>
  <c r="Y330" i="33"/>
  <c r="AC329" i="33"/>
  <c r="S332" i="33"/>
  <c r="X322" i="33"/>
  <c r="AB330" i="33"/>
  <c r="AB331" i="33"/>
  <c r="AB332" i="33"/>
  <c r="Z321" i="33"/>
  <c r="S331" i="33"/>
  <c r="Z323" i="33"/>
  <c r="Y329" i="33"/>
  <c r="U325" i="33"/>
  <c r="X329" i="33"/>
  <c r="T321" i="33"/>
  <c r="T329" i="33"/>
  <c r="X327" i="33"/>
  <c r="U331" i="33"/>
  <c r="T331" i="33"/>
  <c r="S323" i="33"/>
  <c r="T325" i="33"/>
  <c r="S330" i="33"/>
  <c r="S329" i="33"/>
  <c r="S324" i="33"/>
  <c r="T332" i="33"/>
  <c r="AB322" i="33"/>
  <c r="X325" i="33"/>
  <c r="AB321" i="33"/>
  <c r="X331" i="33"/>
  <c r="T328" i="33"/>
  <c r="Z332" i="33"/>
  <c r="AB323" i="33"/>
  <c r="AC330" i="33"/>
  <c r="Y332" i="33"/>
  <c r="AB327" i="33"/>
  <c r="X332" i="33"/>
  <c r="Z331" i="33"/>
  <c r="T330" i="33"/>
  <c r="AB326" i="33"/>
  <c r="U324" i="33"/>
  <c r="Y331" i="33"/>
  <c r="T323" i="33"/>
  <c r="AC325" i="33"/>
  <c r="Z330" i="33"/>
  <c r="Z329" i="33"/>
  <c r="AC324" i="33"/>
  <c r="AC332" i="33"/>
  <c r="U323" i="33"/>
  <c r="AB329" i="33"/>
  <c r="X328" i="33"/>
  <c r="Y139" i="33"/>
  <c r="Y135" i="33"/>
  <c r="AC135" i="33"/>
  <c r="U292" i="33"/>
  <c r="U319" i="33"/>
  <c r="U333" i="33" s="1"/>
  <c r="U320" i="33" s="1"/>
  <c r="U34" i="24" s="1"/>
  <c r="AC306" i="33"/>
  <c r="AC33" i="24" s="1"/>
  <c r="AB292" i="33"/>
  <c r="AB319" i="33"/>
  <c r="AB333" i="33" s="1"/>
  <c r="AB320" i="33" s="1"/>
  <c r="AB34" i="24" s="1"/>
  <c r="Q340" i="33"/>
  <c r="Q312" i="33"/>
  <c r="Q336" i="33"/>
  <c r="Q308" i="33"/>
  <c r="Q344" i="33"/>
  <c r="Q316" i="33"/>
  <c r="Q345" i="33"/>
  <c r="Q317" i="33"/>
  <c r="Q342" i="33"/>
  <c r="Q314" i="33"/>
  <c r="S306" i="33"/>
  <c r="S33" i="24" s="1"/>
  <c r="T306" i="33"/>
  <c r="T33" i="24" s="1"/>
  <c r="Q339" i="33"/>
  <c r="Q311" i="33"/>
  <c r="Q338" i="33"/>
  <c r="Q310" i="33"/>
  <c r="AB147" i="33"/>
  <c r="AB134" i="33" s="1"/>
  <c r="AB17" i="24" s="1"/>
  <c r="Y147" i="33"/>
  <c r="Y134" i="33" s="1"/>
  <c r="Y17" i="24" s="1"/>
  <c r="Q337" i="33"/>
  <c r="Q309" i="33"/>
  <c r="Q346" i="33"/>
  <c r="Q318" i="33"/>
  <c r="AC147" i="33"/>
  <c r="AC134" i="33" s="1"/>
  <c r="AC17" i="24" s="1"/>
  <c r="Q306" i="33"/>
  <c r="Q33" i="24" s="1"/>
  <c r="Y306" i="33"/>
  <c r="Y33" i="24" s="1"/>
  <c r="Z306" i="33"/>
  <c r="Z33" i="24" s="1"/>
  <c r="Q343" i="33"/>
  <c r="Q315" i="33"/>
  <c r="Q341" i="33"/>
  <c r="Q313" i="33"/>
  <c r="W306" i="33"/>
  <c r="W33" i="24" s="1"/>
  <c r="X292" i="33"/>
  <c r="X319" i="33"/>
  <c r="X333" i="33" s="1"/>
  <c r="X320" i="33" s="1"/>
  <c r="X34" i="24" s="1"/>
  <c r="Q335" i="33"/>
  <c r="Q307" i="33"/>
  <c r="AB145" i="33"/>
  <c r="M268" i="33"/>
  <c r="M282" i="33" s="1"/>
  <c r="M240" i="33"/>
  <c r="M254" i="33" s="1"/>
  <c r="M274" i="33"/>
  <c r="M288" i="33" s="1"/>
  <c r="M246" i="33"/>
  <c r="M260" i="33" s="1"/>
  <c r="AB146" i="33"/>
  <c r="M270" i="33"/>
  <c r="M284" i="33" s="1"/>
  <c r="M242" i="33"/>
  <c r="M256" i="33" s="1"/>
  <c r="M273" i="33"/>
  <c r="M287" i="33" s="1"/>
  <c r="M245" i="33"/>
  <c r="M259" i="33" s="1"/>
  <c r="M267" i="33"/>
  <c r="M281" i="33" s="1"/>
  <c r="M239" i="33"/>
  <c r="M253" i="33" s="1"/>
  <c r="L220" i="33"/>
  <c r="L25" i="24" s="1"/>
  <c r="L247" i="33"/>
  <c r="S144" i="33"/>
  <c r="AB142" i="33"/>
  <c r="M264" i="33"/>
  <c r="M278" i="33" s="1"/>
  <c r="M236" i="33"/>
  <c r="M250" i="33" s="1"/>
  <c r="M272" i="33"/>
  <c r="M286" i="33" s="1"/>
  <c r="M244" i="33"/>
  <c r="M258" i="33" s="1"/>
  <c r="M271" i="33"/>
  <c r="M285" i="33" s="1"/>
  <c r="M243" i="33"/>
  <c r="M257" i="33" s="1"/>
  <c r="Y144" i="33"/>
  <c r="M266" i="33"/>
  <c r="M280" i="33" s="1"/>
  <c r="M238" i="33"/>
  <c r="M252" i="33" s="1"/>
  <c r="M263" i="33"/>
  <c r="M277" i="33" s="1"/>
  <c r="M235" i="33"/>
  <c r="M249" i="33" s="1"/>
  <c r="AB144" i="33"/>
  <c r="Y142" i="33"/>
  <c r="S143" i="33"/>
  <c r="M265" i="33"/>
  <c r="M279" i="33" s="1"/>
  <c r="M237" i="33"/>
  <c r="M251" i="33" s="1"/>
  <c r="M269" i="33"/>
  <c r="M283" i="33" s="1"/>
  <c r="M241" i="33"/>
  <c r="M255" i="33" s="1"/>
  <c r="AC142" i="33"/>
  <c r="AC144" i="33"/>
  <c r="S142" i="33"/>
  <c r="W52" i="33"/>
  <c r="W152" i="33"/>
  <c r="AC155" i="33"/>
  <c r="AB155" i="33"/>
  <c r="S155" i="33"/>
  <c r="Y155" i="33"/>
  <c r="L161" i="33"/>
  <c r="L148" i="33" s="1"/>
  <c r="L18" i="24" s="1"/>
  <c r="L134" i="33"/>
  <c r="L17" i="24" s="1"/>
  <c r="AC152" i="33"/>
  <c r="AB152" i="33"/>
  <c r="S152" i="33"/>
  <c r="Y152" i="33"/>
  <c r="AC150" i="33"/>
  <c r="AB150" i="33"/>
  <c r="S150" i="33"/>
  <c r="Y150" i="33"/>
  <c r="AC139" i="33"/>
  <c r="Y154" i="33"/>
  <c r="AC154" i="33"/>
  <c r="S154" i="33"/>
  <c r="AB154" i="33"/>
  <c r="AC149" i="33"/>
  <c r="Y149" i="33"/>
  <c r="AB149" i="33"/>
  <c r="S149" i="33"/>
  <c r="W60" i="33"/>
  <c r="W160" i="33"/>
  <c r="Y146" i="33"/>
  <c r="S139" i="33"/>
  <c r="W54" i="33"/>
  <c r="W154" i="33"/>
  <c r="AB153" i="33"/>
  <c r="S153" i="33"/>
  <c r="Y153" i="33"/>
  <c r="AC153" i="33"/>
  <c r="W56" i="33"/>
  <c r="W156" i="33"/>
  <c r="W58" i="33"/>
  <c r="W158" i="33"/>
  <c r="AB160" i="33"/>
  <c r="AC160" i="33"/>
  <c r="Y160" i="33"/>
  <c r="S160" i="33"/>
  <c r="W61" i="33"/>
  <c r="W48" i="33" s="1"/>
  <c r="W9" i="24" s="1"/>
  <c r="W161" i="33"/>
  <c r="W148" i="33" s="1"/>
  <c r="W18" i="24" s="1"/>
  <c r="W49" i="33"/>
  <c r="W149" i="33"/>
  <c r="Y141" i="33"/>
  <c r="AB143" i="33"/>
  <c r="AC145" i="33"/>
  <c r="AB141" i="33"/>
  <c r="AC146" i="33"/>
  <c r="W50" i="33"/>
  <c r="W150" i="33"/>
  <c r="AC143" i="33"/>
  <c r="R161" i="33"/>
  <c r="R148" i="33" s="1"/>
  <c r="R18" i="24" s="1"/>
  <c r="R134" i="33"/>
  <c r="R17" i="24" s="1"/>
  <c r="W53" i="33"/>
  <c r="W153" i="33"/>
  <c r="S141" i="33"/>
  <c r="S146" i="33"/>
  <c r="S145" i="33"/>
  <c r="AC141" i="33"/>
  <c r="Y151" i="33"/>
  <c r="AB151" i="33"/>
  <c r="S151" i="33"/>
  <c r="AC151" i="33"/>
  <c r="AB135" i="33"/>
  <c r="Y143" i="33"/>
  <c r="S156" i="33"/>
  <c r="Y156" i="33"/>
  <c r="AC156" i="33"/>
  <c r="AB156" i="33"/>
  <c r="AC158" i="33"/>
  <c r="Y158" i="33"/>
  <c r="AB158" i="33"/>
  <c r="S158" i="33"/>
  <c r="AB139" i="33"/>
  <c r="AC157" i="33"/>
  <c r="AB157" i="33"/>
  <c r="Y157" i="33"/>
  <c r="S157" i="33"/>
  <c r="W59" i="33"/>
  <c r="W159" i="33"/>
  <c r="Y159" i="33"/>
  <c r="AB159" i="33"/>
  <c r="S159" i="33"/>
  <c r="AC159" i="33"/>
  <c r="W51" i="33"/>
  <c r="W151" i="33"/>
  <c r="Y145" i="33"/>
  <c r="S135" i="33"/>
  <c r="M166" i="33"/>
  <c r="M180" i="33" s="1"/>
  <c r="M138" i="33"/>
  <c r="M152" i="33" s="1"/>
  <c r="M165" i="33"/>
  <c r="M179" i="33" s="1"/>
  <c r="M137" i="33"/>
  <c r="M151" i="33" s="1"/>
  <c r="M173" i="33"/>
  <c r="M187" i="33" s="1"/>
  <c r="M145" i="33"/>
  <c r="M159" i="33" s="1"/>
  <c r="Q181" i="33"/>
  <c r="Q139" i="33"/>
  <c r="Y137" i="33"/>
  <c r="S137" i="33"/>
  <c r="AB137" i="33"/>
  <c r="AC137" i="33"/>
  <c r="M169" i="33"/>
  <c r="M183" i="33" s="1"/>
  <c r="M141" i="33"/>
  <c r="M155" i="33" s="1"/>
  <c r="Q188" i="33"/>
  <c r="Q146" i="33"/>
  <c r="Q183" i="33"/>
  <c r="Q141" i="33"/>
  <c r="M170" i="33"/>
  <c r="M184" i="33" s="1"/>
  <c r="M142" i="33"/>
  <c r="M156" i="33" s="1"/>
  <c r="AC138" i="33"/>
  <c r="S138" i="33"/>
  <c r="Y138" i="33"/>
  <c r="AB138" i="33"/>
  <c r="Q178" i="33"/>
  <c r="Q136" i="33"/>
  <c r="Y140" i="33"/>
  <c r="AB140" i="33"/>
  <c r="AC140" i="33"/>
  <c r="S140" i="33"/>
  <c r="M164" i="33"/>
  <c r="M178" i="33" s="1"/>
  <c r="M136" i="33"/>
  <c r="M150" i="33" s="1"/>
  <c r="AC136" i="33"/>
  <c r="S136" i="33"/>
  <c r="AB136" i="33"/>
  <c r="Y136" i="33"/>
  <c r="M174" i="33"/>
  <c r="M188" i="33" s="1"/>
  <c r="M146" i="33"/>
  <c r="M160" i="33" s="1"/>
  <c r="Q180" i="33"/>
  <c r="Q138" i="33"/>
  <c r="M168" i="33"/>
  <c r="M182" i="33" s="1"/>
  <c r="M140" i="33"/>
  <c r="M154" i="33" s="1"/>
  <c r="M172" i="33"/>
  <c r="M186" i="33" s="1"/>
  <c r="M144" i="33"/>
  <c r="M158" i="33" s="1"/>
  <c r="M167" i="33"/>
  <c r="M181" i="33" s="1"/>
  <c r="M139" i="33"/>
  <c r="M153" i="33" s="1"/>
  <c r="Q187" i="33"/>
  <c r="Q145" i="33"/>
  <c r="M163" i="33"/>
  <c r="M177" i="33" s="1"/>
  <c r="M135" i="33"/>
  <c r="M149" i="33" s="1"/>
  <c r="M171" i="33"/>
  <c r="M185" i="33" s="1"/>
  <c r="M143" i="33"/>
  <c r="M157" i="33" s="1"/>
  <c r="Q177" i="33"/>
  <c r="Q135" i="33"/>
  <c r="G48" i="33"/>
  <c r="L419" i="33"/>
  <c r="L406" i="33" s="1"/>
  <c r="L42" i="24" s="1"/>
  <c r="AB114" i="33"/>
  <c r="G128" i="33"/>
  <c r="G142" i="33" s="1"/>
  <c r="G156" i="33" s="1"/>
  <c r="X114" i="33"/>
  <c r="U114" i="33"/>
  <c r="G184" i="33"/>
  <c r="G183" i="33"/>
  <c r="G127" i="33"/>
  <c r="G141" i="33" s="1"/>
  <c r="G155" i="33" s="1"/>
  <c r="U113" i="33"/>
  <c r="AB113" i="33"/>
  <c r="X113" i="33"/>
  <c r="AB339" i="33"/>
  <c r="X339" i="33"/>
  <c r="U339" i="33"/>
  <c r="G130" i="33"/>
  <c r="G144" i="33" s="1"/>
  <c r="G158" i="33" s="1"/>
  <c r="U116" i="33"/>
  <c r="X116" i="33"/>
  <c r="AB116" i="33"/>
  <c r="G186" i="33"/>
  <c r="Q402" i="33"/>
  <c r="Q416" i="33"/>
  <c r="X269" i="33"/>
  <c r="U283" i="33"/>
  <c r="AB269" i="33"/>
  <c r="Q417" i="33"/>
  <c r="Q403" i="33"/>
  <c r="Q216" i="33"/>
  <c r="Q272" i="33"/>
  <c r="Q230" i="33"/>
  <c r="Q258" i="33" s="1"/>
  <c r="Q268" i="33"/>
  <c r="Q226" i="33"/>
  <c r="Q254" i="33" s="1"/>
  <c r="Q212" i="33"/>
  <c r="U342" i="33"/>
  <c r="AB342" i="33"/>
  <c r="X342" i="33"/>
  <c r="AB166" i="33"/>
  <c r="X166" i="33"/>
  <c r="U180" i="33"/>
  <c r="U280" i="33"/>
  <c r="X266" i="33"/>
  <c r="AB266" i="33"/>
  <c r="X211" i="33"/>
  <c r="AB211" i="33"/>
  <c r="U211" i="33"/>
  <c r="G281" i="33"/>
  <c r="G225" i="33"/>
  <c r="G239" i="33" s="1"/>
  <c r="G253" i="33" s="1"/>
  <c r="X207" i="33"/>
  <c r="G221" i="33"/>
  <c r="G235" i="33" s="1"/>
  <c r="G249" i="33" s="1"/>
  <c r="U207" i="33"/>
  <c r="G277" i="33"/>
  <c r="AB207" i="33"/>
  <c r="U338" i="33"/>
  <c r="X338" i="33"/>
  <c r="AB338" i="33"/>
  <c r="U403" i="33"/>
  <c r="G417" i="33"/>
  <c r="X403" i="33"/>
  <c r="AB403" i="33"/>
  <c r="Q407" i="33"/>
  <c r="Q393" i="33"/>
  <c r="X343" i="33"/>
  <c r="U343" i="33"/>
  <c r="AB343" i="33"/>
  <c r="U287" i="33"/>
  <c r="AB273" i="33"/>
  <c r="X273" i="33"/>
  <c r="U110" i="33"/>
  <c r="AB110" i="33"/>
  <c r="G124" i="33"/>
  <c r="G138" i="33" s="1"/>
  <c r="G152" i="33" s="1"/>
  <c r="X110" i="33"/>
  <c r="G180" i="33"/>
  <c r="Q266" i="33"/>
  <c r="Q224" i="33"/>
  <c r="Q252" i="33" s="1"/>
  <c r="Q210" i="33"/>
  <c r="U279" i="33"/>
  <c r="AB265" i="33"/>
  <c r="X265" i="33"/>
  <c r="X174" i="33"/>
  <c r="AB174" i="33"/>
  <c r="U188" i="33"/>
  <c r="X399" i="33"/>
  <c r="AB399" i="33"/>
  <c r="U399" i="33"/>
  <c r="G413" i="33"/>
  <c r="Q263" i="33"/>
  <c r="Q221" i="33"/>
  <c r="Q249" i="33" s="1"/>
  <c r="Q207" i="33"/>
  <c r="U397" i="33"/>
  <c r="X397" i="33"/>
  <c r="G411" i="33"/>
  <c r="AB397" i="33"/>
  <c r="AB396" i="33"/>
  <c r="U396" i="33"/>
  <c r="X396" i="33"/>
  <c r="G410" i="33"/>
  <c r="AB263" i="33"/>
  <c r="X263" i="33"/>
  <c r="U277" i="33"/>
  <c r="AB346" i="33"/>
  <c r="U346" i="33"/>
  <c r="X346" i="33"/>
  <c r="G182" i="33"/>
  <c r="U112" i="33"/>
  <c r="AB112" i="33"/>
  <c r="G126" i="33"/>
  <c r="G140" i="33" s="1"/>
  <c r="G154" i="33" s="1"/>
  <c r="X112" i="33"/>
  <c r="Q395" i="33"/>
  <c r="Q409" i="33"/>
  <c r="AB164" i="33"/>
  <c r="X164" i="33"/>
  <c r="U178" i="33"/>
  <c r="Q408" i="33"/>
  <c r="Q394" i="33"/>
  <c r="U107" i="33"/>
  <c r="G121" i="33"/>
  <c r="G135" i="33" s="1"/>
  <c r="G149" i="33" s="1"/>
  <c r="G177" i="33"/>
  <c r="AB107" i="33"/>
  <c r="X107" i="33"/>
  <c r="U117" i="33"/>
  <c r="G187" i="33"/>
  <c r="G131" i="33"/>
  <c r="G145" i="33" s="1"/>
  <c r="G159" i="33" s="1"/>
  <c r="X117" i="33"/>
  <c r="AB117" i="33"/>
  <c r="X393" i="33"/>
  <c r="AB393" i="33"/>
  <c r="G407" i="33"/>
  <c r="U393" i="33"/>
  <c r="X168" i="33"/>
  <c r="U182" i="33"/>
  <c r="AB168" i="33"/>
  <c r="X172" i="33"/>
  <c r="U186" i="33"/>
  <c r="AB172" i="33"/>
  <c r="AB173" i="33"/>
  <c r="X173" i="33"/>
  <c r="U187" i="33"/>
  <c r="X274" i="33"/>
  <c r="U288" i="33"/>
  <c r="AB274" i="33"/>
  <c r="U337" i="33"/>
  <c r="X337" i="33"/>
  <c r="AB337" i="33"/>
  <c r="AB167" i="33"/>
  <c r="U181" i="33"/>
  <c r="X167" i="33"/>
  <c r="U341" i="33"/>
  <c r="AB341" i="33"/>
  <c r="X341" i="33"/>
  <c r="Q396" i="33"/>
  <c r="Q410" i="33"/>
  <c r="U278" i="33"/>
  <c r="X264" i="33"/>
  <c r="AB264" i="33"/>
  <c r="G129" i="33"/>
  <c r="G143" i="33" s="1"/>
  <c r="G157" i="33" s="1"/>
  <c r="AB115" i="33"/>
  <c r="X115" i="33"/>
  <c r="G185" i="33"/>
  <c r="U115" i="33"/>
  <c r="X215" i="33"/>
  <c r="G285" i="33"/>
  <c r="G229" i="33"/>
  <c r="G243" i="33" s="1"/>
  <c r="G257" i="33" s="1"/>
  <c r="AB215" i="33"/>
  <c r="U215" i="33"/>
  <c r="G409" i="33"/>
  <c r="X395" i="33"/>
  <c r="AB395" i="33"/>
  <c r="U395" i="33"/>
  <c r="X111" i="33"/>
  <c r="G181" i="33"/>
  <c r="AB111" i="33"/>
  <c r="U111" i="33"/>
  <c r="G125" i="33"/>
  <c r="G139" i="33" s="1"/>
  <c r="G153" i="33" s="1"/>
  <c r="U404" i="33"/>
  <c r="AB404" i="33"/>
  <c r="G418" i="33"/>
  <c r="X404" i="33"/>
  <c r="U286" i="33"/>
  <c r="AB272" i="33"/>
  <c r="X272" i="33"/>
  <c r="G282" i="33"/>
  <c r="AB212" i="33"/>
  <c r="U212" i="33"/>
  <c r="G226" i="33"/>
  <c r="G240" i="33" s="1"/>
  <c r="G254" i="33" s="1"/>
  <c r="X212" i="33"/>
  <c r="U400" i="33"/>
  <c r="G414" i="33"/>
  <c r="X400" i="33"/>
  <c r="AB400" i="33"/>
  <c r="U218" i="33"/>
  <c r="G232" i="33"/>
  <c r="G246" i="33" s="1"/>
  <c r="G260" i="33" s="1"/>
  <c r="AB218" i="33"/>
  <c r="G288" i="33"/>
  <c r="X218" i="33"/>
  <c r="Q229" i="33"/>
  <c r="Q257" i="33" s="1"/>
  <c r="Q215" i="33"/>
  <c r="Q271" i="33"/>
  <c r="AB169" i="33"/>
  <c r="U183" i="33"/>
  <c r="X169" i="33"/>
  <c r="X336" i="33"/>
  <c r="AB336" i="33"/>
  <c r="U336" i="33"/>
  <c r="U210" i="33"/>
  <c r="G224" i="33"/>
  <c r="G238" i="33" s="1"/>
  <c r="G252" i="33" s="1"/>
  <c r="G280" i="33"/>
  <c r="X210" i="33"/>
  <c r="AB210" i="33"/>
  <c r="Q265" i="33"/>
  <c r="Q223" i="33"/>
  <c r="Q251" i="33" s="1"/>
  <c r="Q209" i="33"/>
  <c r="Q418" i="33"/>
  <c r="Q404" i="33"/>
  <c r="U281" i="33"/>
  <c r="X267" i="33"/>
  <c r="AB267" i="33"/>
  <c r="X345" i="33"/>
  <c r="U345" i="33"/>
  <c r="AB345" i="33"/>
  <c r="Q208" i="33"/>
  <c r="Q222" i="33"/>
  <c r="Q250" i="33" s="1"/>
  <c r="Q264" i="33"/>
  <c r="Q399" i="33"/>
  <c r="Q413" i="33"/>
  <c r="X398" i="33"/>
  <c r="U398" i="33"/>
  <c r="G412" i="33"/>
  <c r="AB398" i="33"/>
  <c r="Q232" i="33"/>
  <c r="Q260" i="33" s="1"/>
  <c r="Q218" i="33"/>
  <c r="Q274" i="33"/>
  <c r="X171" i="33"/>
  <c r="AB171" i="33"/>
  <c r="U185" i="33"/>
  <c r="AB340" i="33"/>
  <c r="X340" i="33"/>
  <c r="U340" i="33"/>
  <c r="U401" i="33"/>
  <c r="X401" i="33"/>
  <c r="AB401" i="33"/>
  <c r="G415" i="33"/>
  <c r="U108" i="33"/>
  <c r="G178" i="33"/>
  <c r="G122" i="33"/>
  <c r="G136" i="33" s="1"/>
  <c r="G150" i="33" s="1"/>
  <c r="AB108" i="33"/>
  <c r="X108" i="33"/>
  <c r="Q267" i="33"/>
  <c r="Q211" i="33"/>
  <c r="Q225" i="33"/>
  <c r="Q253" i="33" s="1"/>
  <c r="G278" i="33"/>
  <c r="G222" i="33"/>
  <c r="G236" i="33" s="1"/>
  <c r="G250" i="33" s="1"/>
  <c r="AB208" i="33"/>
  <c r="U208" i="33"/>
  <c r="X208" i="33"/>
  <c r="G416" i="33"/>
  <c r="AB402" i="33"/>
  <c r="X402" i="33"/>
  <c r="U402" i="33"/>
  <c r="Q270" i="33"/>
  <c r="Q228" i="33"/>
  <c r="Q256" i="33" s="1"/>
  <c r="Q214" i="33"/>
  <c r="AB213" i="33"/>
  <c r="G227" i="33"/>
  <c r="G241" i="33" s="1"/>
  <c r="G255" i="33" s="1"/>
  <c r="G283" i="33"/>
  <c r="X213" i="33"/>
  <c r="U213" i="33"/>
  <c r="G286" i="33"/>
  <c r="X216" i="33"/>
  <c r="G230" i="33"/>
  <c r="G244" i="33" s="1"/>
  <c r="G258" i="33" s="1"/>
  <c r="AB216" i="33"/>
  <c r="U216" i="33"/>
  <c r="Q400" i="33"/>
  <c r="Q414" i="33"/>
  <c r="Q231" i="33"/>
  <c r="Q259" i="33" s="1"/>
  <c r="Q273" i="33"/>
  <c r="Q217" i="33"/>
  <c r="U285" i="33"/>
  <c r="X271" i="33"/>
  <c r="AB271" i="33"/>
  <c r="G231" i="33"/>
  <c r="G245" i="33" s="1"/>
  <c r="G259" i="33" s="1"/>
  <c r="X217" i="33"/>
  <c r="G287" i="33"/>
  <c r="U217" i="33"/>
  <c r="AB217" i="33"/>
  <c r="U179" i="33"/>
  <c r="AB165" i="33"/>
  <c r="X165" i="33"/>
  <c r="G188" i="33"/>
  <c r="AB118" i="33"/>
  <c r="X118" i="33"/>
  <c r="U118" i="33"/>
  <c r="G132" i="33"/>
  <c r="G146" i="33" s="1"/>
  <c r="G160" i="33" s="1"/>
  <c r="AB214" i="33"/>
  <c r="G228" i="33"/>
  <c r="G242" i="33" s="1"/>
  <c r="G256" i="33" s="1"/>
  <c r="X214" i="33"/>
  <c r="G284" i="33"/>
  <c r="U214" i="33"/>
  <c r="G179" i="33"/>
  <c r="U109" i="33"/>
  <c r="AB109" i="33"/>
  <c r="G123" i="33"/>
  <c r="G137" i="33" s="1"/>
  <c r="G151" i="33" s="1"/>
  <c r="X109" i="33"/>
  <c r="U184" i="33"/>
  <c r="AB170" i="33"/>
  <c r="X170" i="33"/>
  <c r="Q415" i="33"/>
  <c r="Q401" i="33"/>
  <c r="G223" i="33"/>
  <c r="G237" i="33" s="1"/>
  <c r="G251" i="33" s="1"/>
  <c r="X209" i="33"/>
  <c r="U209" i="33"/>
  <c r="AB209" i="33"/>
  <c r="G279" i="33"/>
  <c r="AB344" i="33"/>
  <c r="U344" i="33"/>
  <c r="X344" i="33"/>
  <c r="AB335" i="33"/>
  <c r="X335" i="33"/>
  <c r="U335" i="33"/>
  <c r="G408" i="33"/>
  <c r="U394" i="33"/>
  <c r="X394" i="33"/>
  <c r="AB394" i="33"/>
  <c r="AB163" i="33"/>
  <c r="X163" i="33"/>
  <c r="U177" i="33"/>
  <c r="Q398" i="33"/>
  <c r="Q412" i="33"/>
  <c r="X270" i="33"/>
  <c r="AB270" i="33"/>
  <c r="U284" i="33"/>
  <c r="Q227" i="33"/>
  <c r="Q255" i="33" s="1"/>
  <c r="Q269" i="33"/>
  <c r="Q213" i="33"/>
  <c r="U282" i="33"/>
  <c r="X268" i="33"/>
  <c r="AB268" i="33"/>
  <c r="Q411" i="33"/>
  <c r="Q397" i="33"/>
  <c r="M92" i="33"/>
  <c r="G289" i="33"/>
  <c r="U219" i="33"/>
  <c r="U206" i="33" s="1"/>
  <c r="U24" i="24" s="1"/>
  <c r="G233" i="33"/>
  <c r="G247" i="33" s="1"/>
  <c r="AB219" i="33"/>
  <c r="AB206" i="33" s="1"/>
  <c r="AB24" i="24" s="1"/>
  <c r="X219" i="33"/>
  <c r="X206" i="33" s="1"/>
  <c r="X24" i="24" s="1"/>
  <c r="G206" i="33"/>
  <c r="AB175" i="33"/>
  <c r="U189" i="33"/>
  <c r="X175" i="33"/>
  <c r="X275" i="33"/>
  <c r="X262" i="33" s="1"/>
  <c r="X28" i="24" s="1"/>
  <c r="U289" i="33"/>
  <c r="U276" i="33" s="1"/>
  <c r="U29" i="24" s="1"/>
  <c r="AB275" i="33"/>
  <c r="AB262" i="33" s="1"/>
  <c r="AB28" i="24" s="1"/>
  <c r="G262" i="33"/>
  <c r="G28" i="24" s="1"/>
  <c r="AB347" i="33"/>
  <c r="AB334" i="33" s="1"/>
  <c r="AB35" i="24" s="1"/>
  <c r="U347" i="33"/>
  <c r="U334" i="33" s="1"/>
  <c r="U35" i="24" s="1"/>
  <c r="X347" i="33"/>
  <c r="X334" i="33" s="1"/>
  <c r="X35" i="24" s="1"/>
  <c r="G334" i="33"/>
  <c r="G35" i="24" s="1"/>
  <c r="X405" i="33"/>
  <c r="X392" i="33" s="1"/>
  <c r="X41" i="24" s="1"/>
  <c r="U405" i="33"/>
  <c r="U392" i="33" s="1"/>
  <c r="U41" i="24" s="1"/>
  <c r="AB405" i="33"/>
  <c r="AB392" i="33" s="1"/>
  <c r="AB41" i="24" s="1"/>
  <c r="G419" i="33"/>
  <c r="G392" i="33"/>
  <c r="G41" i="24" s="1"/>
  <c r="Q292" i="33"/>
  <c r="Q347" i="33"/>
  <c r="Q334" i="33" s="1"/>
  <c r="Q35" i="24" s="1"/>
  <c r="Q219" i="33"/>
  <c r="Q247" i="33" s="1"/>
  <c r="Q234" i="33" s="1"/>
  <c r="Q26" i="24" s="1"/>
  <c r="Q233" i="33"/>
  <c r="Q275" i="33"/>
  <c r="Q262" i="33" s="1"/>
  <c r="Q28" i="24" s="1"/>
  <c r="Q192" i="33"/>
  <c r="Q23" i="24" s="1"/>
  <c r="G189" i="33"/>
  <c r="G133" i="33"/>
  <c r="G147" i="33" s="1"/>
  <c r="M219" i="33"/>
  <c r="M192" i="33"/>
  <c r="Q419" i="33"/>
  <c r="Q406" i="33" s="1"/>
  <c r="Q42" i="24" s="1"/>
  <c r="Q405" i="33"/>
  <c r="Q392" i="33" s="1"/>
  <c r="Q41" i="24" s="1"/>
  <c r="Q350" i="33"/>
  <c r="L41" i="24"/>
  <c r="S339" i="33"/>
  <c r="Z339" i="33"/>
  <c r="T339" i="33"/>
  <c r="AC339" i="33"/>
  <c r="Y339" i="33"/>
  <c r="Z342" i="33"/>
  <c r="Y342" i="33"/>
  <c r="AC342" i="33"/>
  <c r="T342" i="33"/>
  <c r="S342" i="33"/>
  <c r="S338" i="33"/>
  <c r="Y338" i="33"/>
  <c r="AC338" i="33"/>
  <c r="T338" i="33"/>
  <c r="Z338" i="33"/>
  <c r="S346" i="33"/>
  <c r="Y346" i="33"/>
  <c r="Z346" i="33"/>
  <c r="AC346" i="33"/>
  <c r="T346" i="33"/>
  <c r="S337" i="33"/>
  <c r="Z337" i="33"/>
  <c r="AC337" i="33"/>
  <c r="T337" i="33"/>
  <c r="Y337" i="33"/>
  <c r="T343" i="33"/>
  <c r="Y343" i="33"/>
  <c r="AC343" i="33"/>
  <c r="Z343" i="33"/>
  <c r="S343" i="33"/>
  <c r="T345" i="33"/>
  <c r="Z345" i="33"/>
  <c r="AC345" i="33"/>
  <c r="S345" i="33"/>
  <c r="Y345" i="33"/>
  <c r="Z335" i="33"/>
  <c r="T335" i="33"/>
  <c r="AC335" i="33"/>
  <c r="S335" i="33"/>
  <c r="Y335" i="33"/>
  <c r="T344" i="33"/>
  <c r="S344" i="33"/>
  <c r="Y344" i="33"/>
  <c r="AC344" i="33"/>
  <c r="Z344" i="33"/>
  <c r="L275" i="33"/>
  <c r="L262" i="33" s="1"/>
  <c r="L28" i="24" s="1"/>
  <c r="L175" i="33"/>
  <c r="L120" i="33"/>
  <c r="L16" i="24" s="1"/>
  <c r="AB38" i="24" l="1"/>
  <c r="AD48" i="33"/>
  <c r="AE48" i="33" s="1"/>
  <c r="AF48" i="33" s="1"/>
  <c r="G9" i="24"/>
  <c r="AD9" i="24" s="1"/>
  <c r="X38" i="24"/>
  <c r="U38" i="24"/>
  <c r="U391" i="33"/>
  <c r="U378" i="33" s="1"/>
  <c r="U40" i="24" s="1"/>
  <c r="U364" i="33"/>
  <c r="U39" i="24" s="1"/>
  <c r="AB391" i="33"/>
  <c r="AB378" i="33" s="1"/>
  <c r="AB40" i="24" s="1"/>
  <c r="AB364" i="33"/>
  <c r="AB39" i="24" s="1"/>
  <c r="X391" i="33"/>
  <c r="X378" i="33" s="1"/>
  <c r="X40" i="24" s="1"/>
  <c r="X364" i="33"/>
  <c r="X39" i="24" s="1"/>
  <c r="X32" i="24"/>
  <c r="Q32" i="24"/>
  <c r="U32" i="24"/>
  <c r="AB32" i="24"/>
  <c r="Q320" i="33"/>
  <c r="Q327" i="33"/>
  <c r="Q324" i="33"/>
  <c r="Q328" i="33"/>
  <c r="Q326" i="33"/>
  <c r="Q332" i="33"/>
  <c r="Q331" i="33"/>
  <c r="Q323" i="33"/>
  <c r="Q330" i="33"/>
  <c r="Q329" i="33"/>
  <c r="Q325" i="33"/>
  <c r="Q321" i="33"/>
  <c r="Q322" i="33"/>
  <c r="AB306" i="33"/>
  <c r="AB33" i="24" s="1"/>
  <c r="X306" i="33"/>
  <c r="X33" i="24" s="1"/>
  <c r="U306" i="33"/>
  <c r="U33" i="24" s="1"/>
  <c r="N249" i="33"/>
  <c r="U249" i="33"/>
  <c r="X249" i="33"/>
  <c r="X259" i="33"/>
  <c r="N259" i="33"/>
  <c r="U259" i="33"/>
  <c r="X254" i="33"/>
  <c r="N254" i="33"/>
  <c r="U254" i="33"/>
  <c r="U255" i="33"/>
  <c r="N255" i="33"/>
  <c r="X255" i="33"/>
  <c r="U260" i="33"/>
  <c r="X260" i="33"/>
  <c r="N260" i="33"/>
  <c r="X253" i="33"/>
  <c r="N253" i="33"/>
  <c r="U253" i="33"/>
  <c r="U256" i="33"/>
  <c r="X256" i="33"/>
  <c r="N256" i="33"/>
  <c r="G261" i="33"/>
  <c r="G248" i="33" s="1"/>
  <c r="G27" i="24" s="1"/>
  <c r="G234" i="33"/>
  <c r="G26" i="24" s="1"/>
  <c r="U252" i="33"/>
  <c r="N252" i="33"/>
  <c r="X252" i="33"/>
  <c r="N251" i="33"/>
  <c r="U251" i="33"/>
  <c r="X251" i="33"/>
  <c r="X250" i="33"/>
  <c r="N250" i="33"/>
  <c r="U250" i="33"/>
  <c r="L234" i="33"/>
  <c r="L26" i="24" s="1"/>
  <c r="L261" i="33"/>
  <c r="L248" i="33" s="1"/>
  <c r="L27" i="24" s="1"/>
  <c r="Q220" i="33"/>
  <c r="Q25" i="24" s="1"/>
  <c r="Q261" i="33"/>
  <c r="Q248" i="33" s="1"/>
  <c r="Q27" i="24" s="1"/>
  <c r="X258" i="33"/>
  <c r="N258" i="33"/>
  <c r="U258" i="33"/>
  <c r="N257" i="33"/>
  <c r="U257" i="33"/>
  <c r="X257" i="33"/>
  <c r="X235" i="33"/>
  <c r="N235" i="33"/>
  <c r="U235" i="33"/>
  <c r="Q282" i="33"/>
  <c r="Q240" i="33"/>
  <c r="X245" i="33"/>
  <c r="N245" i="33"/>
  <c r="U245" i="33"/>
  <c r="Q281" i="33"/>
  <c r="Q239" i="33"/>
  <c r="N240" i="33"/>
  <c r="X240" i="33"/>
  <c r="U240" i="33"/>
  <c r="Q277" i="33"/>
  <c r="Q235" i="33"/>
  <c r="U241" i="33"/>
  <c r="X241" i="33"/>
  <c r="N241" i="33"/>
  <c r="N246" i="33"/>
  <c r="U246" i="33"/>
  <c r="X246" i="33"/>
  <c r="N239" i="33"/>
  <c r="X239" i="33"/>
  <c r="U239" i="33"/>
  <c r="Q283" i="33"/>
  <c r="Q241" i="33"/>
  <c r="Q284" i="33"/>
  <c r="Q242" i="33"/>
  <c r="X237" i="33"/>
  <c r="U237" i="33"/>
  <c r="N237" i="33"/>
  <c r="Q287" i="33"/>
  <c r="Q245" i="33"/>
  <c r="Q278" i="33"/>
  <c r="Q236" i="33"/>
  <c r="Q285" i="33"/>
  <c r="Q243" i="33"/>
  <c r="Q286" i="33"/>
  <c r="Q244" i="33"/>
  <c r="U247" i="33"/>
  <c r="U234" i="33" s="1"/>
  <c r="U26" i="24" s="1"/>
  <c r="X247" i="33"/>
  <c r="X234" i="33" s="1"/>
  <c r="X26" i="24" s="1"/>
  <c r="N247" i="33"/>
  <c r="N234" i="33" s="1"/>
  <c r="N26" i="24" s="1"/>
  <c r="U244" i="33"/>
  <c r="X244" i="33"/>
  <c r="N244" i="33"/>
  <c r="M14" i="24"/>
  <c r="U236" i="33"/>
  <c r="X236" i="33"/>
  <c r="N236" i="33"/>
  <c r="Q279" i="33"/>
  <c r="Q237" i="33"/>
  <c r="Q280" i="33"/>
  <c r="Q238" i="33"/>
  <c r="X242" i="33"/>
  <c r="U242" i="33"/>
  <c r="N242" i="33"/>
  <c r="Q288" i="33"/>
  <c r="Q246" i="33"/>
  <c r="N238" i="33"/>
  <c r="U238" i="33"/>
  <c r="X238" i="33"/>
  <c r="X243" i="33"/>
  <c r="U243" i="33"/>
  <c r="N243" i="33"/>
  <c r="AC161" i="33"/>
  <c r="AC148" i="33" s="1"/>
  <c r="AC18" i="24" s="1"/>
  <c r="S161" i="33"/>
  <c r="S148" i="33" s="1"/>
  <c r="S18" i="24" s="1"/>
  <c r="AB161" i="33"/>
  <c r="AB148" i="33" s="1"/>
  <c r="AB18" i="24" s="1"/>
  <c r="Y161" i="33"/>
  <c r="Y148" i="33" s="1"/>
  <c r="Y18" i="24" s="1"/>
  <c r="N160" i="33"/>
  <c r="U160" i="33"/>
  <c r="X160" i="33"/>
  <c r="U150" i="33"/>
  <c r="N150" i="33"/>
  <c r="X150" i="33"/>
  <c r="X149" i="33"/>
  <c r="N149" i="33"/>
  <c r="U149" i="33"/>
  <c r="X156" i="33"/>
  <c r="U156" i="33"/>
  <c r="N156" i="33"/>
  <c r="X157" i="33"/>
  <c r="N157" i="33"/>
  <c r="U157" i="33"/>
  <c r="N159" i="33"/>
  <c r="X159" i="33"/>
  <c r="U159" i="33"/>
  <c r="U158" i="33"/>
  <c r="N158" i="33"/>
  <c r="X158" i="33"/>
  <c r="X151" i="33"/>
  <c r="N151" i="33"/>
  <c r="U151" i="33"/>
  <c r="X153" i="33"/>
  <c r="U153" i="33"/>
  <c r="N153" i="33"/>
  <c r="N154" i="33"/>
  <c r="U154" i="33"/>
  <c r="X154" i="33"/>
  <c r="G161" i="33"/>
  <c r="G148" i="33" s="1"/>
  <c r="G18" i="24" s="1"/>
  <c r="G134" i="33"/>
  <c r="G17" i="24" s="1"/>
  <c r="U155" i="33"/>
  <c r="X155" i="33"/>
  <c r="N155" i="33"/>
  <c r="N152" i="33"/>
  <c r="U152" i="33"/>
  <c r="X152" i="33"/>
  <c r="U144" i="33"/>
  <c r="N144" i="33"/>
  <c r="X144" i="33"/>
  <c r="U141" i="33"/>
  <c r="N141" i="33"/>
  <c r="X141" i="33"/>
  <c r="N138" i="33"/>
  <c r="U138" i="33"/>
  <c r="X138" i="33"/>
  <c r="X137" i="33"/>
  <c r="N137" i="33"/>
  <c r="U137" i="33"/>
  <c r="N146" i="33"/>
  <c r="X146" i="33"/>
  <c r="U146" i="33"/>
  <c r="U136" i="33"/>
  <c r="X136" i="33"/>
  <c r="N136" i="33"/>
  <c r="X135" i="33"/>
  <c r="N135" i="33"/>
  <c r="U135" i="33"/>
  <c r="U142" i="33"/>
  <c r="X142" i="33"/>
  <c r="N142" i="33"/>
  <c r="U147" i="33"/>
  <c r="U134" i="33" s="1"/>
  <c r="U17" i="24" s="1"/>
  <c r="N147" i="33"/>
  <c r="N134" i="33" s="1"/>
  <c r="N17" i="24" s="1"/>
  <c r="X147" i="33"/>
  <c r="X134" i="33" s="1"/>
  <c r="X17" i="24" s="1"/>
  <c r="X143" i="33"/>
  <c r="N143" i="33"/>
  <c r="U143" i="33"/>
  <c r="U139" i="33"/>
  <c r="N139" i="33"/>
  <c r="X139" i="33"/>
  <c r="X145" i="33"/>
  <c r="U145" i="33"/>
  <c r="N145" i="33"/>
  <c r="N140" i="33"/>
  <c r="X140" i="33"/>
  <c r="U140" i="33"/>
  <c r="AI48" i="33"/>
  <c r="AH9" i="24" s="1"/>
  <c r="AB179" i="33"/>
  <c r="X179" i="33"/>
  <c r="X287" i="33"/>
  <c r="AB287" i="33"/>
  <c r="AB278" i="33"/>
  <c r="X278" i="33"/>
  <c r="X181" i="33"/>
  <c r="AB181" i="33"/>
  <c r="U126" i="33"/>
  <c r="U168" i="33"/>
  <c r="N126" i="33"/>
  <c r="X126" i="33"/>
  <c r="X415" i="33"/>
  <c r="U415" i="33"/>
  <c r="X288" i="33"/>
  <c r="AB288" i="33"/>
  <c r="X285" i="33"/>
  <c r="AB285" i="33"/>
  <c r="AB187" i="33"/>
  <c r="X187" i="33"/>
  <c r="X417" i="33"/>
  <c r="U417" i="33"/>
  <c r="U263" i="33"/>
  <c r="N221" i="33"/>
  <c r="U221" i="33"/>
  <c r="X221" i="33"/>
  <c r="X127" i="33"/>
  <c r="N127" i="33"/>
  <c r="U127" i="33"/>
  <c r="U169" i="33"/>
  <c r="AB279" i="33"/>
  <c r="X279" i="33"/>
  <c r="X284" i="33"/>
  <c r="AB284" i="33"/>
  <c r="AB188" i="33"/>
  <c r="X188" i="33"/>
  <c r="U231" i="33"/>
  <c r="N231" i="33"/>
  <c r="X231" i="33"/>
  <c r="U273" i="33"/>
  <c r="AB283" i="33"/>
  <c r="X283" i="33"/>
  <c r="U268" i="33"/>
  <c r="N226" i="33"/>
  <c r="X226" i="33"/>
  <c r="U226" i="33"/>
  <c r="X418" i="33"/>
  <c r="U418" i="33"/>
  <c r="U410" i="33"/>
  <c r="X410" i="33"/>
  <c r="X180" i="33"/>
  <c r="AB180" i="33"/>
  <c r="N130" i="33"/>
  <c r="U172" i="33"/>
  <c r="U130" i="33"/>
  <c r="X130" i="33"/>
  <c r="AB183" i="33"/>
  <c r="X183" i="33"/>
  <c r="U229" i="33"/>
  <c r="X229" i="33"/>
  <c r="N229" i="33"/>
  <c r="U271" i="33"/>
  <c r="U131" i="33"/>
  <c r="U173" i="33"/>
  <c r="N131" i="33"/>
  <c r="X131" i="33"/>
  <c r="AD334" i="33"/>
  <c r="AE334" i="33" s="1"/>
  <c r="X408" i="33"/>
  <c r="U408" i="33"/>
  <c r="X227" i="33"/>
  <c r="N227" i="33"/>
  <c r="U269" i="33"/>
  <c r="U227" i="33"/>
  <c r="X416" i="33"/>
  <c r="U416" i="33"/>
  <c r="U274" i="33"/>
  <c r="X232" i="33"/>
  <c r="U232" i="33"/>
  <c r="N232" i="33"/>
  <c r="X407" i="33"/>
  <c r="U407" i="33"/>
  <c r="AB182" i="33"/>
  <c r="X182" i="33"/>
  <c r="N225" i="33"/>
  <c r="X225" i="33"/>
  <c r="U225" i="33"/>
  <c r="U267" i="33"/>
  <c r="AB184" i="33"/>
  <c r="X184" i="33"/>
  <c r="X228" i="33"/>
  <c r="U228" i="33"/>
  <c r="U270" i="33"/>
  <c r="N228" i="33"/>
  <c r="X280" i="33"/>
  <c r="AB280" i="33"/>
  <c r="AB185" i="33"/>
  <c r="X185" i="33"/>
  <c r="U124" i="33"/>
  <c r="U166" i="33"/>
  <c r="X124" i="33"/>
  <c r="N124" i="33"/>
  <c r="X281" i="33"/>
  <c r="AB281" i="33"/>
  <c r="X123" i="33"/>
  <c r="U123" i="33"/>
  <c r="U165" i="33"/>
  <c r="N123" i="33"/>
  <c r="U230" i="33"/>
  <c r="U272" i="33"/>
  <c r="X230" i="33"/>
  <c r="N230" i="33"/>
  <c r="N224" i="33"/>
  <c r="U266" i="33"/>
  <c r="U224" i="33"/>
  <c r="X224" i="33"/>
  <c r="X282" i="33"/>
  <c r="AB282" i="33"/>
  <c r="X125" i="33"/>
  <c r="U125" i="33"/>
  <c r="U167" i="33"/>
  <c r="N125" i="33"/>
  <c r="U409" i="33"/>
  <c r="X409" i="33"/>
  <c r="AB177" i="33"/>
  <c r="X177" i="33"/>
  <c r="X413" i="33"/>
  <c r="U413" i="33"/>
  <c r="U265" i="33"/>
  <c r="U223" i="33"/>
  <c r="N223" i="33"/>
  <c r="X223" i="33"/>
  <c r="X132" i="33"/>
  <c r="N132" i="33"/>
  <c r="U174" i="33"/>
  <c r="U132" i="33"/>
  <c r="U122" i="33"/>
  <c r="N122" i="33"/>
  <c r="X122" i="33"/>
  <c r="U164" i="33"/>
  <c r="U121" i="33"/>
  <c r="U163" i="33"/>
  <c r="X121" i="33"/>
  <c r="N121" i="33"/>
  <c r="X186" i="33"/>
  <c r="AB186" i="33"/>
  <c r="X128" i="33"/>
  <c r="N128" i="33"/>
  <c r="U170" i="33"/>
  <c r="U128" i="33"/>
  <c r="AD35" i="24"/>
  <c r="X286" i="33"/>
  <c r="AB286" i="33"/>
  <c r="U264" i="33"/>
  <c r="N222" i="33"/>
  <c r="X222" i="33"/>
  <c r="U222" i="33"/>
  <c r="X178" i="33"/>
  <c r="AB178" i="33"/>
  <c r="U412" i="33"/>
  <c r="X412" i="33"/>
  <c r="U414" i="33"/>
  <c r="X414" i="33"/>
  <c r="N129" i="33"/>
  <c r="U129" i="33"/>
  <c r="U171" i="33"/>
  <c r="X129" i="33"/>
  <c r="U411" i="33"/>
  <c r="X411" i="33"/>
  <c r="X277" i="33"/>
  <c r="AB277" i="33"/>
  <c r="AD41" i="24"/>
  <c r="AD392" i="33"/>
  <c r="AE392" i="33" s="1"/>
  <c r="X189" i="33"/>
  <c r="AB189" i="33"/>
  <c r="AB289" i="33"/>
  <c r="AB276" i="33" s="1"/>
  <c r="AB29" i="24" s="1"/>
  <c r="X289" i="33"/>
  <c r="X276" i="33" s="1"/>
  <c r="X29" i="24" s="1"/>
  <c r="G276" i="33"/>
  <c r="G29" i="24" s="1"/>
  <c r="AD292" i="33"/>
  <c r="AE292" i="33" s="1"/>
  <c r="M233" i="33"/>
  <c r="M247" i="33" s="1"/>
  <c r="M206" i="33"/>
  <c r="M24" i="24" s="1"/>
  <c r="G24" i="24"/>
  <c r="U233" i="33"/>
  <c r="U220" i="33" s="1"/>
  <c r="U25" i="24" s="1"/>
  <c r="U275" i="33"/>
  <c r="U262" i="33" s="1"/>
  <c r="U28" i="24" s="1"/>
  <c r="X233" i="33"/>
  <c r="X220" i="33" s="1"/>
  <c r="X25" i="24" s="1"/>
  <c r="N233" i="33"/>
  <c r="N220" i="33" s="1"/>
  <c r="N25" i="24" s="1"/>
  <c r="G220" i="33"/>
  <c r="Q38" i="24"/>
  <c r="AD350" i="33"/>
  <c r="AE350" i="33" s="1"/>
  <c r="U419" i="33"/>
  <c r="U406" i="33" s="1"/>
  <c r="U42" i="24" s="1"/>
  <c r="X419" i="33"/>
  <c r="X406" i="33" s="1"/>
  <c r="X42" i="24" s="1"/>
  <c r="G406" i="33"/>
  <c r="M23" i="24"/>
  <c r="AD192" i="33"/>
  <c r="AE192" i="33" s="1"/>
  <c r="M133" i="33"/>
  <c r="M147" i="33" s="1"/>
  <c r="M106" i="33"/>
  <c r="M15" i="24" s="1"/>
  <c r="N133" i="33"/>
  <c r="X133" i="33"/>
  <c r="U133" i="33"/>
  <c r="U175" i="33"/>
  <c r="Q289" i="33"/>
  <c r="Q276" i="33" s="1"/>
  <c r="Q29" i="24" s="1"/>
  <c r="Q206" i="33"/>
  <c r="Q24" i="24" s="1"/>
  <c r="L289" i="33"/>
  <c r="L189" i="33"/>
  <c r="L176" i="33" s="1"/>
  <c r="L20" i="24" s="1"/>
  <c r="L162" i="33"/>
  <c r="L19" i="24" s="1"/>
  <c r="AD40" i="24" l="1"/>
  <c r="AD33" i="24"/>
  <c r="AH48" i="33"/>
  <c r="AG9" i="24" s="1"/>
  <c r="AE9" i="24"/>
  <c r="AD39" i="24"/>
  <c r="AD320" i="33"/>
  <c r="AE320" i="33" s="1"/>
  <c r="AI320" i="33" s="1"/>
  <c r="AH34" i="24" s="1"/>
  <c r="Q34" i="24"/>
  <c r="AD34" i="24" s="1"/>
  <c r="AG48" i="33"/>
  <c r="AF9" i="24" s="1"/>
  <c r="AD23" i="24"/>
  <c r="AI392" i="33"/>
  <c r="AH41" i="24" s="1"/>
  <c r="AH392" i="33"/>
  <c r="AG41" i="24" s="1"/>
  <c r="AG392" i="33"/>
  <c r="AF41" i="24" s="1"/>
  <c r="AF392" i="33"/>
  <c r="AE41" i="24" s="1"/>
  <c r="AD38" i="24"/>
  <c r="AD364" i="33"/>
  <c r="AE364" i="33" s="1"/>
  <c r="AI364" i="33" s="1"/>
  <c r="AH39" i="24" s="1"/>
  <c r="AD378" i="33"/>
  <c r="AE378" i="33" s="1"/>
  <c r="AD32" i="24"/>
  <c r="AH334" i="33"/>
  <c r="AG35" i="24" s="1"/>
  <c r="AG334" i="33"/>
  <c r="AF35" i="24" s="1"/>
  <c r="AF334" i="33"/>
  <c r="AE35" i="24" s="1"/>
  <c r="AI334" i="33"/>
  <c r="AH35" i="24" s="1"/>
  <c r="AD306" i="33"/>
  <c r="AE306" i="33" s="1"/>
  <c r="AF306" i="33" s="1"/>
  <c r="AE33" i="24" s="1"/>
  <c r="AI292" i="33"/>
  <c r="AH32" i="24" s="1"/>
  <c r="AH292" i="33"/>
  <c r="AG32" i="24" s="1"/>
  <c r="AG292" i="33"/>
  <c r="AF32" i="24" s="1"/>
  <c r="AF292" i="33"/>
  <c r="AE32" i="24" s="1"/>
  <c r="N261" i="33"/>
  <c r="N248" i="33" s="1"/>
  <c r="N27" i="24" s="1"/>
  <c r="X261" i="33"/>
  <c r="X248" i="33" s="1"/>
  <c r="X27" i="24" s="1"/>
  <c r="U261" i="33"/>
  <c r="U248" i="33" s="1"/>
  <c r="U27" i="24" s="1"/>
  <c r="AH192" i="33"/>
  <c r="AG23" i="24" s="1"/>
  <c r="AF192" i="33"/>
  <c r="AG192" i="33"/>
  <c r="AF23" i="24" s="1"/>
  <c r="AI192" i="33"/>
  <c r="AH23" i="24" s="1"/>
  <c r="M234" i="33"/>
  <c r="M261" i="33"/>
  <c r="M248" i="33" s="1"/>
  <c r="M27" i="24" s="1"/>
  <c r="M134" i="33"/>
  <c r="M161" i="33"/>
  <c r="M148" i="33" s="1"/>
  <c r="M18" i="24" s="1"/>
  <c r="U161" i="33"/>
  <c r="U148" i="33" s="1"/>
  <c r="U18" i="24" s="1"/>
  <c r="N161" i="33"/>
  <c r="N148" i="33" s="1"/>
  <c r="N18" i="24" s="1"/>
  <c r="X161" i="33"/>
  <c r="X148" i="33" s="1"/>
  <c r="X18" i="24" s="1"/>
  <c r="AD62" i="33"/>
  <c r="AE62" i="33" s="1"/>
  <c r="G25" i="24"/>
  <c r="M275" i="33"/>
  <c r="M220" i="33"/>
  <c r="M25" i="24" s="1"/>
  <c r="G42" i="24"/>
  <c r="AD42" i="24" s="1"/>
  <c r="AD406" i="33"/>
  <c r="AD206" i="33"/>
  <c r="AE206" i="33" s="1"/>
  <c r="AG350" i="33"/>
  <c r="AF38" i="24" s="1"/>
  <c r="AF350" i="33"/>
  <c r="AH350" i="33"/>
  <c r="AG38" i="24" s="1"/>
  <c r="AI350" i="33"/>
  <c r="AH38" i="24" s="1"/>
  <c r="AD24" i="24"/>
  <c r="M175" i="33"/>
  <c r="M120" i="33"/>
  <c r="M16" i="24" s="1"/>
  <c r="L276" i="33"/>
  <c r="L29" i="24" s="1"/>
  <c r="AF320" i="33" l="1"/>
  <c r="AE34" i="24" s="1"/>
  <c r="AD31" i="24"/>
  <c r="AD18" i="24"/>
  <c r="AD27" i="24"/>
  <c r="AD134" i="33"/>
  <c r="AE134" i="33" s="1"/>
  <c r="AH134" i="33" s="1"/>
  <c r="AG17" i="24" s="1"/>
  <c r="M17" i="24"/>
  <c r="AD17" i="24" s="1"/>
  <c r="AD234" i="33"/>
  <c r="AE234" i="33" s="1"/>
  <c r="AG234" i="33" s="1"/>
  <c r="AF26" i="24" s="1"/>
  <c r="M26" i="24"/>
  <c r="AD26" i="24" s="1"/>
  <c r="AG320" i="33"/>
  <c r="AF34" i="24" s="1"/>
  <c r="AH320" i="33"/>
  <c r="AG34" i="24" s="1"/>
  <c r="AE23" i="24"/>
  <c r="AD37" i="24"/>
  <c r="AE38" i="24"/>
  <c r="AI378" i="33"/>
  <c r="AH40" i="24" s="1"/>
  <c r="AF378" i="33"/>
  <c r="AE40" i="24" s="1"/>
  <c r="AH378" i="33"/>
  <c r="AG40" i="24" s="1"/>
  <c r="AG378" i="33"/>
  <c r="AF40" i="24" s="1"/>
  <c r="AG364" i="33"/>
  <c r="AF39" i="24" s="1"/>
  <c r="AF364" i="33"/>
  <c r="AE39" i="24" s="1"/>
  <c r="AH364" i="33"/>
  <c r="AG39" i="24" s="1"/>
  <c r="AD291" i="33"/>
  <c r="AG306" i="33"/>
  <c r="AF33" i="24" s="1"/>
  <c r="AH306" i="33"/>
  <c r="AG33" i="24" s="1"/>
  <c r="AI306" i="33"/>
  <c r="AH33" i="24" s="1"/>
  <c r="AH206" i="33"/>
  <c r="AG24" i="24" s="1"/>
  <c r="AI206" i="33"/>
  <c r="AH24" i="24" s="1"/>
  <c r="AG206" i="33"/>
  <c r="AF24" i="24" s="1"/>
  <c r="AF206" i="33"/>
  <c r="AD248" i="33"/>
  <c r="AE248" i="33" s="1"/>
  <c r="AF234" i="33"/>
  <c r="AH234" i="33"/>
  <c r="AG26" i="24" s="1"/>
  <c r="AD148" i="33"/>
  <c r="AE148" i="33" s="1"/>
  <c r="AH62" i="33"/>
  <c r="AG10" i="24" s="1"/>
  <c r="AG62" i="33"/>
  <c r="AF10" i="24" s="1"/>
  <c r="AI62" i="33"/>
  <c r="AH10" i="24" s="1"/>
  <c r="AF62" i="33"/>
  <c r="AD25" i="24"/>
  <c r="AD220" i="33"/>
  <c r="AE220" i="33" s="1"/>
  <c r="AG220" i="33" s="1"/>
  <c r="AF25" i="24" s="1"/>
  <c r="M289" i="33"/>
  <c r="M276" i="33" s="1"/>
  <c r="M29" i="24" s="1"/>
  <c r="AD29" i="24" s="1"/>
  <c r="M262" i="33"/>
  <c r="M189" i="33"/>
  <c r="M176" i="33" s="1"/>
  <c r="M20" i="24" s="1"/>
  <c r="M162" i="33"/>
  <c r="M19" i="24" s="1"/>
  <c r="AD349" i="33"/>
  <c r="AE406" i="33"/>
  <c r="AF134" i="33" l="1"/>
  <c r="AI134" i="33"/>
  <c r="AH17" i="24" s="1"/>
  <c r="AI234" i="33"/>
  <c r="AH26" i="24" s="1"/>
  <c r="AG134" i="33"/>
  <c r="AF17" i="24" s="1"/>
  <c r="AE17" i="24"/>
  <c r="AE10" i="24"/>
  <c r="AE26" i="24"/>
  <c r="AE24" i="24"/>
  <c r="AH406" i="33"/>
  <c r="AG42" i="24" s="1"/>
  <c r="AG406" i="33"/>
  <c r="AF42" i="24" s="1"/>
  <c r="AF406" i="33"/>
  <c r="AE42" i="24" s="1"/>
  <c r="AI406" i="33"/>
  <c r="AH42" i="24" s="1"/>
  <c r="AE291" i="33"/>
  <c r="AH348" i="33" s="1"/>
  <c r="AG36" i="24" s="1"/>
  <c r="AF248" i="33"/>
  <c r="AH248" i="33"/>
  <c r="AG27" i="24" s="1"/>
  <c r="AG248" i="33"/>
  <c r="AF27" i="24" s="1"/>
  <c r="AI248" i="33"/>
  <c r="AH27" i="24" s="1"/>
  <c r="AF148" i="33"/>
  <c r="AI148" i="33"/>
  <c r="AH18" i="24" s="1"/>
  <c r="AH148" i="33"/>
  <c r="AG18" i="24" s="1"/>
  <c r="AG148" i="33"/>
  <c r="AF18" i="24" s="1"/>
  <c r="AF220" i="33"/>
  <c r="AH220" i="33"/>
  <c r="AG25" i="24" s="1"/>
  <c r="AD276" i="33"/>
  <c r="AE276" i="33" s="1"/>
  <c r="AF276" i="33" s="1"/>
  <c r="AI220" i="33"/>
  <c r="AH25" i="24" s="1"/>
  <c r="M28" i="24"/>
  <c r="AD28" i="24" s="1"/>
  <c r="AD22" i="24" s="1"/>
  <c r="AD262" i="33"/>
  <c r="AE262" i="33" s="1"/>
  <c r="G176" i="33"/>
  <c r="G20" i="24" s="1"/>
  <c r="N106" i="33"/>
  <c r="N15" i="24" s="1"/>
  <c r="D162" i="33"/>
  <c r="D19" i="24" s="1"/>
  <c r="D106" i="33"/>
  <c r="D15" i="24" s="1"/>
  <c r="X106" i="33"/>
  <c r="X15" i="24" s="1"/>
  <c r="Q120" i="33"/>
  <c r="Q16" i="24" s="1"/>
  <c r="N162" i="33"/>
  <c r="N19" i="24" s="1"/>
  <c r="D176" i="33"/>
  <c r="D20" i="24" s="1"/>
  <c r="X176" i="33"/>
  <c r="X20" i="24" s="1"/>
  <c r="E106" i="33"/>
  <c r="E15" i="24" s="1"/>
  <c r="V120" i="33"/>
  <c r="V16" i="24" s="1"/>
  <c r="P162" i="33"/>
  <c r="P19" i="24" s="1"/>
  <c r="E176" i="33"/>
  <c r="E20" i="24" s="1"/>
  <c r="F106" i="33"/>
  <c r="F15" i="24" s="1"/>
  <c r="D120" i="33"/>
  <c r="D16" i="24" s="1"/>
  <c r="X120" i="33"/>
  <c r="X16" i="24" s="1"/>
  <c r="Q162" i="33"/>
  <c r="Q19" i="24" s="1"/>
  <c r="F176" i="33"/>
  <c r="F20" i="24" s="1"/>
  <c r="G106" i="33"/>
  <c r="G15" i="24" s="1"/>
  <c r="E120" i="33"/>
  <c r="E16" i="24" s="1"/>
  <c r="V162" i="33"/>
  <c r="V19" i="24" s="1"/>
  <c r="F120" i="33"/>
  <c r="F16" i="24" s="1"/>
  <c r="X162" i="33"/>
  <c r="X19" i="24" s="1"/>
  <c r="N176" i="33"/>
  <c r="N20" i="24" s="1"/>
  <c r="P106" i="33"/>
  <c r="P15" i="24" s="1"/>
  <c r="G120" i="33"/>
  <c r="G16" i="24" s="1"/>
  <c r="E162" i="33"/>
  <c r="E19" i="24" s="1"/>
  <c r="P176" i="33"/>
  <c r="P20" i="24" s="1"/>
  <c r="Q106" i="33"/>
  <c r="Q15" i="24" s="1"/>
  <c r="N120" i="33"/>
  <c r="N16" i="24" s="1"/>
  <c r="F162" i="33"/>
  <c r="F19" i="24" s="1"/>
  <c r="Q176" i="33"/>
  <c r="Q20" i="24" s="1"/>
  <c r="V106" i="33"/>
  <c r="V15" i="24" s="1"/>
  <c r="P120" i="33"/>
  <c r="P16" i="24" s="1"/>
  <c r="G162" i="33"/>
  <c r="G19" i="24" s="1"/>
  <c r="V176" i="33"/>
  <c r="V20" i="24" s="1"/>
  <c r="D92" i="33"/>
  <c r="Q92" i="33"/>
  <c r="V92" i="33"/>
  <c r="P92" i="33"/>
  <c r="E92" i="33"/>
  <c r="F92" i="33"/>
  <c r="X92" i="33"/>
  <c r="G92" i="33"/>
  <c r="N92" i="33"/>
  <c r="AE4" i="23"/>
  <c r="AE18" i="24" l="1"/>
  <c r="AE29" i="24"/>
  <c r="AE25" i="24"/>
  <c r="AE27" i="24"/>
  <c r="AG348" i="33"/>
  <c r="AF36" i="24" s="1"/>
  <c r="AF31" i="24" s="1"/>
  <c r="AH291" i="33"/>
  <c r="AF348" i="33"/>
  <c r="AE36" i="24" s="1"/>
  <c r="AE31" i="24" s="1"/>
  <c r="AI348" i="33"/>
  <c r="AI262" i="33"/>
  <c r="AH28" i="24" s="1"/>
  <c r="AH262" i="33"/>
  <c r="AG28" i="24" s="1"/>
  <c r="AG262" i="33"/>
  <c r="AF28" i="24" s="1"/>
  <c r="AF262" i="33"/>
  <c r="E14" i="24"/>
  <c r="P14" i="24"/>
  <c r="D14" i="24"/>
  <c r="Q14" i="24"/>
  <c r="N14" i="24"/>
  <c r="G14" i="24"/>
  <c r="F14" i="24"/>
  <c r="V14" i="24"/>
  <c r="X14" i="24"/>
  <c r="AE349" i="33"/>
  <c r="AD191" i="33"/>
  <c r="B92" i="33"/>
  <c r="B14" i="24"/>
  <c r="C92" i="33"/>
  <c r="C14" i="24"/>
  <c r="AI276" i="33"/>
  <c r="AH276" i="33"/>
  <c r="AG276" i="33"/>
  <c r="AF29" i="24" s="1"/>
  <c r="C15" i="35"/>
  <c r="C20" i="35"/>
  <c r="AE28" i="24" l="1"/>
  <c r="M31" i="24"/>
  <c r="E31" i="24"/>
  <c r="N31" i="24"/>
  <c r="V31" i="24"/>
  <c r="D31" i="24"/>
  <c r="F31" i="24"/>
  <c r="P31" i="24"/>
  <c r="L31" i="24"/>
  <c r="AA31" i="24"/>
  <c r="AC31" i="24"/>
  <c r="R31" i="24"/>
  <c r="W31" i="24"/>
  <c r="T31" i="24"/>
  <c r="S31" i="24"/>
  <c r="G31" i="24"/>
  <c r="Z31" i="24"/>
  <c r="Y31" i="24"/>
  <c r="AB31" i="24"/>
  <c r="U31" i="24"/>
  <c r="X31" i="24"/>
  <c r="Q31" i="24"/>
  <c r="AF291" i="33"/>
  <c r="Z291" i="33" s="1"/>
  <c r="AG291" i="33"/>
  <c r="AH36" i="24"/>
  <c r="AI291" i="33"/>
  <c r="AE191" i="33"/>
  <c r="AI420" i="33"/>
  <c r="AF420" i="33"/>
  <c r="AH420" i="33"/>
  <c r="AG420" i="33"/>
  <c r="AH29" i="24"/>
  <c r="AG29" i="24"/>
  <c r="C106" i="33"/>
  <c r="C15" i="24"/>
  <c r="B106" i="33"/>
  <c r="B15" i="24"/>
  <c r="AF290" i="33" l="1"/>
  <c r="AF191" i="33" s="1"/>
  <c r="AH290" i="33"/>
  <c r="AG290" i="33"/>
  <c r="L291" i="33"/>
  <c r="Y291" i="33"/>
  <c r="W291" i="33"/>
  <c r="AB291" i="33"/>
  <c r="T291" i="33"/>
  <c r="M291" i="33"/>
  <c r="R291" i="33"/>
  <c r="Q291" i="33"/>
  <c r="V291" i="33"/>
  <c r="E291" i="33"/>
  <c r="F291" i="33"/>
  <c r="D291" i="33"/>
  <c r="AA291" i="33"/>
  <c r="X291" i="33"/>
  <c r="U291" i="33"/>
  <c r="G291" i="33"/>
  <c r="N291" i="33"/>
  <c r="S291" i="33"/>
  <c r="P291" i="33"/>
  <c r="AC291" i="33"/>
  <c r="AF43" i="24"/>
  <c r="AF37" i="24" s="1"/>
  <c r="AG349" i="33"/>
  <c r="AF349" i="33"/>
  <c r="AE43" i="24"/>
  <c r="AE37" i="24" s="1"/>
  <c r="AG43" i="24"/>
  <c r="AG37" i="24" s="1"/>
  <c r="AH349" i="33"/>
  <c r="AH43" i="24"/>
  <c r="AH37" i="24" s="1"/>
  <c r="AI349" i="33"/>
  <c r="AF4" i="23"/>
  <c r="C120" i="33"/>
  <c r="C16" i="24"/>
  <c r="B120" i="33"/>
  <c r="B16" i="24"/>
  <c r="AI290" i="33"/>
  <c r="AF30" i="24"/>
  <c r="AC191" i="33" l="1"/>
  <c r="V37" i="24"/>
  <c r="AA37" i="24"/>
  <c r="AB37" i="24"/>
  <c r="M37" i="24"/>
  <c r="AC37" i="24"/>
  <c r="X37" i="24"/>
  <c r="W37" i="24"/>
  <c r="Z37" i="24"/>
  <c r="P37" i="24"/>
  <c r="F37" i="24"/>
  <c r="T37" i="24"/>
  <c r="L37" i="24"/>
  <c r="R37" i="24"/>
  <c r="U37" i="24"/>
  <c r="S37" i="24"/>
  <c r="G37" i="24"/>
  <c r="D37" i="24"/>
  <c r="Y37" i="24"/>
  <c r="Q37" i="24"/>
  <c r="E37" i="24"/>
  <c r="AE30" i="24"/>
  <c r="AE22" i="24" s="1"/>
  <c r="R349" i="33"/>
  <c r="L349" i="33"/>
  <c r="M349" i="33"/>
  <c r="AC349" i="33"/>
  <c r="D349" i="33"/>
  <c r="Q349" i="33"/>
  <c r="E349" i="33"/>
  <c r="Y349" i="33"/>
  <c r="U349" i="33"/>
  <c r="X349" i="33"/>
  <c r="S349" i="33"/>
  <c r="V349" i="33"/>
  <c r="Z349" i="33"/>
  <c r="AB349" i="33"/>
  <c r="AA349" i="33"/>
  <c r="T349" i="33"/>
  <c r="W349" i="33"/>
  <c r="P349" i="33"/>
  <c r="F349" i="33"/>
  <c r="G349" i="33"/>
  <c r="AG30" i="24"/>
  <c r="AH191" i="33"/>
  <c r="AH30" i="24"/>
  <c r="AI191" i="33"/>
  <c r="AG191" i="33"/>
  <c r="AF22" i="24"/>
  <c r="AA191" i="33"/>
  <c r="AB191" i="33"/>
  <c r="Q191" i="33"/>
  <c r="U191" i="33"/>
  <c r="S191" i="33"/>
  <c r="N191" i="33"/>
  <c r="Y191" i="33"/>
  <c r="L191" i="33"/>
  <c r="F191" i="33"/>
  <c r="D191" i="33"/>
  <c r="E191" i="33"/>
  <c r="V191" i="33"/>
  <c r="M191" i="33"/>
  <c r="P191" i="33"/>
  <c r="W191" i="33"/>
  <c r="X191" i="33"/>
  <c r="G191" i="33"/>
  <c r="Z191" i="33"/>
  <c r="T191" i="33"/>
  <c r="R191" i="33"/>
  <c r="B162" i="33"/>
  <c r="B19" i="24"/>
  <c r="C162" i="33"/>
  <c r="C19" i="24"/>
  <c r="E22" i="24" l="1"/>
  <c r="AA22" i="24"/>
  <c r="X22" i="24"/>
  <c r="P22" i="24"/>
  <c r="G22" i="24"/>
  <c r="W22" i="24"/>
  <c r="T22" i="24"/>
  <c r="U22" i="24"/>
  <c r="N22" i="24"/>
  <c r="Y22" i="24"/>
  <c r="M22" i="24"/>
  <c r="R22" i="24"/>
  <c r="AC22" i="24"/>
  <c r="S22" i="24"/>
  <c r="D22" i="24"/>
  <c r="V22" i="24"/>
  <c r="L22" i="24"/>
  <c r="AB22" i="24"/>
  <c r="F22" i="24"/>
  <c r="Z22" i="24"/>
  <c r="Q22" i="24"/>
  <c r="C176" i="33"/>
  <c r="C20" i="24"/>
  <c r="C192" i="33"/>
  <c r="C23" i="24"/>
  <c r="B192" i="33"/>
  <c r="B23" i="24"/>
  <c r="B176" i="33"/>
  <c r="B20" i="24"/>
  <c r="B206" i="33" l="1"/>
  <c r="B24" i="24"/>
  <c r="C206" i="33"/>
  <c r="C24" i="24"/>
  <c r="B220" i="33" l="1"/>
  <c r="B25" i="24"/>
  <c r="C220" i="33"/>
  <c r="C25" i="24"/>
  <c r="B262" i="33" l="1"/>
  <c r="B28" i="24"/>
  <c r="C262" i="33"/>
  <c r="C28" i="24"/>
  <c r="B276" i="33" l="1"/>
  <c r="B29" i="24"/>
  <c r="C276" i="33"/>
  <c r="C29" i="24"/>
  <c r="C292" i="33" l="1"/>
  <c r="C32" i="24"/>
  <c r="B292" i="33"/>
  <c r="B32" i="24"/>
  <c r="C334" i="33" l="1"/>
  <c r="C35" i="24"/>
  <c r="C350" i="33"/>
  <c r="C38" i="24"/>
  <c r="B350" i="33"/>
  <c r="B38" i="24"/>
  <c r="B334" i="33"/>
  <c r="B35" i="24"/>
  <c r="C392" i="33" l="1"/>
  <c r="C41" i="24"/>
  <c r="B392" i="33"/>
  <c r="B41" i="24"/>
  <c r="B406" i="33" l="1"/>
  <c r="B42" i="24"/>
  <c r="C406" i="33"/>
  <c r="C42" i="24"/>
  <c r="C21" i="35"/>
  <c r="D2" i="35" s="1"/>
  <c r="X76" i="33"/>
  <c r="X11" i="24" s="1"/>
  <c r="V76" i="33"/>
  <c r="V11" i="24" s="1"/>
  <c r="Q76" i="33"/>
  <c r="Q11" i="24" s="1"/>
  <c r="P76" i="33"/>
  <c r="P11" i="24" s="1"/>
  <c r="N76" i="33"/>
  <c r="N11" i="24" s="1"/>
  <c r="G76" i="33"/>
  <c r="G11" i="24" s="1"/>
  <c r="F76" i="33"/>
  <c r="F11" i="24" s="1"/>
  <c r="E76" i="33"/>
  <c r="E11" i="24" s="1"/>
  <c r="D76" i="33"/>
  <c r="D11" i="24" s="1"/>
  <c r="X34" i="33"/>
  <c r="X8" i="24" s="1"/>
  <c r="V34" i="33"/>
  <c r="Q34" i="33"/>
  <c r="P34" i="33"/>
  <c r="N34" i="33"/>
  <c r="N8" i="24" s="1"/>
  <c r="G34" i="33"/>
  <c r="F34" i="33"/>
  <c r="F8" i="24" s="1"/>
  <c r="E34" i="33"/>
  <c r="E8" i="24" s="1"/>
  <c r="D34" i="33"/>
  <c r="D8" i="24" s="1"/>
  <c r="C23" i="35"/>
  <c r="X20" i="33"/>
  <c r="X7" i="24" s="1"/>
  <c r="V20" i="33"/>
  <c r="Q20" i="33"/>
  <c r="P20" i="33"/>
  <c r="N20" i="33"/>
  <c r="N7" i="24" s="1"/>
  <c r="G20" i="33"/>
  <c r="F20" i="33"/>
  <c r="F7" i="24" s="1"/>
  <c r="E20" i="33"/>
  <c r="E7" i="24" s="1"/>
  <c r="D20" i="33"/>
  <c r="D7" i="24" s="1"/>
  <c r="Q7" i="24" l="1"/>
  <c r="V7" i="24"/>
  <c r="P7" i="24"/>
  <c r="G7" i="24"/>
  <c r="P8" i="24"/>
  <c r="G8" i="24"/>
  <c r="Q8" i="24"/>
  <c r="V8" i="24"/>
  <c r="C76" i="33"/>
  <c r="C11" i="24"/>
  <c r="B34" i="33"/>
  <c r="B8" i="24"/>
  <c r="C20" i="33"/>
  <c r="C7" i="24"/>
  <c r="C34" i="33"/>
  <c r="C8" i="24"/>
  <c r="B20" i="33"/>
  <c r="B7" i="24"/>
  <c r="B76" i="33"/>
  <c r="B11" i="24"/>
  <c r="C24" i="35"/>
  <c r="E28" i="35" s="1"/>
  <c r="E27" i="35" s="1"/>
  <c r="E26" i="35" s="1"/>
  <c r="E25" i="35" s="1"/>
  <c r="E24" i="35" s="1"/>
  <c r="E23" i="35" s="1"/>
  <c r="E22" i="35" s="1"/>
  <c r="E21" i="35" s="1"/>
  <c r="E20" i="35" s="1"/>
  <c r="E19" i="35" s="1"/>
  <c r="E18" i="35" s="1"/>
  <c r="E17" i="35" s="1"/>
  <c r="E16" i="35" s="1"/>
  <c r="E15" i="35" s="1"/>
  <c r="E14" i="35" s="1"/>
  <c r="E13" i="35" s="1"/>
  <c r="E12" i="35" s="1"/>
  <c r="E11" i="35" s="1"/>
  <c r="E10" i="35" s="1"/>
  <c r="E9" i="35" s="1"/>
  <c r="E8" i="35" s="1"/>
  <c r="E7" i="35" s="1"/>
  <c r="E6" i="35" s="1"/>
  <c r="E5" i="35" s="1"/>
  <c r="E4" i="35" s="1"/>
  <c r="E3" i="35" s="1"/>
  <c r="E2" i="35" s="1"/>
  <c r="C32" i="35" l="1"/>
  <c r="B38" i="35" s="1"/>
  <c r="F6" i="33"/>
  <c r="Q6" i="33"/>
  <c r="G6" i="33"/>
  <c r="N6" i="33"/>
  <c r="P6" i="33"/>
  <c r="V6" i="33"/>
  <c r="D6" i="33"/>
  <c r="X6" i="33"/>
  <c r="E6" i="33"/>
  <c r="D6" i="24" l="1"/>
  <c r="Q6" i="24"/>
  <c r="V6" i="24"/>
  <c r="N6" i="24"/>
  <c r="F6" i="24"/>
  <c r="P6" i="24"/>
  <c r="G6" i="24"/>
  <c r="E6" i="24"/>
  <c r="X6" i="24"/>
  <c r="AG4" i="23"/>
  <c r="G6" i="3" l="1"/>
  <c r="F14" i="14"/>
  <c r="F15" i="14" s="1"/>
  <c r="F84" i="14"/>
  <c r="F85" i="14" s="1"/>
  <c r="F49" i="14"/>
  <c r="F50" i="14" s="1"/>
  <c r="G4" i="23"/>
  <c r="N4" i="23"/>
  <c r="L4" i="23"/>
  <c r="H4" i="23"/>
  <c r="D4" i="23"/>
  <c r="I4" i="23"/>
  <c r="E4" i="23"/>
  <c r="J4" i="23"/>
  <c r="V4" i="23"/>
  <c r="X4" i="23"/>
  <c r="Q4" i="23"/>
  <c r="P4" i="23"/>
  <c r="O4" i="23"/>
  <c r="C6" i="33"/>
  <c r="C6" i="24"/>
  <c r="B6" i="33"/>
  <c r="B6" i="24"/>
  <c r="F4" i="23"/>
  <c r="M4" i="23"/>
  <c r="K4" i="23"/>
  <c r="T6" i="33"/>
  <c r="AI4" i="23"/>
  <c r="W34" i="33"/>
  <c r="W8" i="24" s="1"/>
  <c r="Z34" i="33"/>
  <c r="Z8" i="24" s="1"/>
  <c r="T76" i="33"/>
  <c r="T11" i="24" s="1"/>
  <c r="T34" i="33"/>
  <c r="T8" i="24" s="1"/>
  <c r="Y76" i="33"/>
  <c r="Y11" i="24" s="1"/>
  <c r="T6" i="24" l="1"/>
  <c r="R176" i="33"/>
  <c r="R20" i="24" s="1"/>
  <c r="Z176" i="33"/>
  <c r="Z20" i="24" s="1"/>
  <c r="W176" i="33"/>
  <c r="W20" i="24" s="1"/>
  <c r="W120" i="33"/>
  <c r="W16" i="24" s="1"/>
  <c r="Z162" i="33"/>
  <c r="Z19" i="24" s="1"/>
  <c r="T120" i="33"/>
  <c r="T16" i="24" s="1"/>
  <c r="Y162" i="33"/>
  <c r="Y19" i="24" s="1"/>
  <c r="W106" i="33"/>
  <c r="W15" i="24" s="1"/>
  <c r="R162" i="33"/>
  <c r="R19" i="24" s="1"/>
  <c r="R106" i="33"/>
  <c r="R15" i="24" s="1"/>
  <c r="Z6" i="33"/>
  <c r="AH4" i="23"/>
  <c r="G16" i="3" s="1"/>
  <c r="Y20" i="33"/>
  <c r="Y7" i="24" s="1"/>
  <c r="T20" i="33"/>
  <c r="T7" i="24" s="1"/>
  <c r="R6" i="33"/>
  <c r="Y6" i="33"/>
  <c r="AJ4" i="23"/>
  <c r="Y34" i="33"/>
  <c r="Y8" i="24" s="1"/>
  <c r="W76" i="33"/>
  <c r="W11" i="24" s="1"/>
  <c r="AB34" i="33"/>
  <c r="AB8" i="24" s="1"/>
  <c r="Z92" i="33"/>
  <c r="Y92" i="33"/>
  <c r="W92" i="33"/>
  <c r="R76" i="33"/>
  <c r="R11" i="24" s="1"/>
  <c r="R34" i="33"/>
  <c r="U34" i="33"/>
  <c r="U8" i="24" s="1"/>
  <c r="U76" i="33"/>
  <c r="U11" i="24" s="1"/>
  <c r="Z14" i="24" l="1"/>
  <c r="W14" i="24"/>
  <c r="Y14" i="24"/>
  <c r="Z6" i="24"/>
  <c r="Y6" i="24"/>
  <c r="R6" i="24"/>
  <c r="R8" i="24"/>
  <c r="M16" i="3"/>
  <c r="G17" i="3"/>
  <c r="J16" i="3"/>
  <c r="H16" i="3"/>
  <c r="P16" i="3"/>
  <c r="AA120" i="33"/>
  <c r="AA16" i="24" s="1"/>
  <c r="Z106" i="33"/>
  <c r="Z15" i="24" s="1"/>
  <c r="R120" i="33"/>
  <c r="R16" i="24" s="1"/>
  <c r="T162" i="33"/>
  <c r="T19" i="24" s="1"/>
  <c r="AB120" i="33"/>
  <c r="AB16" i="24" s="1"/>
  <c r="Y176" i="33"/>
  <c r="Y20" i="24" s="1"/>
  <c r="U120" i="33"/>
  <c r="U16" i="24" s="1"/>
  <c r="U162" i="33"/>
  <c r="U19" i="24" s="1"/>
  <c r="AC106" i="33"/>
  <c r="AC15" i="24" s="1"/>
  <c r="T176" i="33"/>
  <c r="T20" i="24" s="1"/>
  <c r="AA106" i="33"/>
  <c r="AA15" i="24" s="1"/>
  <c r="AA176" i="33"/>
  <c r="AA20" i="24" s="1"/>
  <c r="AC162" i="33"/>
  <c r="AC19" i="24" s="1"/>
  <c r="AB106" i="33"/>
  <c r="AB15" i="24" s="1"/>
  <c r="Z120" i="33"/>
  <c r="Z16" i="24" s="1"/>
  <c r="W162" i="33"/>
  <c r="W19" i="24" s="1"/>
  <c r="Y106" i="33"/>
  <c r="Y15" i="24" s="1"/>
  <c r="U176" i="33"/>
  <c r="U20" i="24" s="1"/>
  <c r="T106" i="33"/>
  <c r="T15" i="24" s="1"/>
  <c r="Y120" i="33"/>
  <c r="Y16" i="24" s="1"/>
  <c r="U106" i="33"/>
  <c r="U15" i="24" s="1"/>
  <c r="AA6" i="33"/>
  <c r="S106" i="33"/>
  <c r="AC76" i="33"/>
  <c r="T4" i="23"/>
  <c r="W20" i="33"/>
  <c r="W7" i="24" s="1"/>
  <c r="Z20" i="33"/>
  <c r="Z7" i="24" s="1"/>
  <c r="Z76" i="33"/>
  <c r="Z11" i="24" s="1"/>
  <c r="R20" i="33"/>
  <c r="U20" i="33"/>
  <c r="U7" i="24" s="1"/>
  <c r="U6" i="33"/>
  <c r="AC120" i="33"/>
  <c r="AC16" i="24" s="1"/>
  <c r="R92" i="33"/>
  <c r="W6" i="33"/>
  <c r="R422" i="33"/>
  <c r="R45" i="24" s="1"/>
  <c r="S76" i="33"/>
  <c r="S11" i="24" s="1"/>
  <c r="AA34" i="33"/>
  <c r="AA8" i="24" s="1"/>
  <c r="T92" i="33"/>
  <c r="AA92" i="33"/>
  <c r="AC92" i="33"/>
  <c r="AB92" i="33"/>
  <c r="S34" i="33"/>
  <c r="S8" i="24" s="1"/>
  <c r="S6" i="33"/>
  <c r="AB14" i="24" l="1"/>
  <c r="T14" i="24"/>
  <c r="R14" i="24"/>
  <c r="AC14" i="24"/>
  <c r="AA14" i="24"/>
  <c r="W6" i="24"/>
  <c r="U6" i="24"/>
  <c r="S6" i="24"/>
  <c r="AA6" i="24"/>
  <c r="R7" i="24"/>
  <c r="D16" i="3"/>
  <c r="J17" i="3"/>
  <c r="G18" i="3"/>
  <c r="P17" i="3"/>
  <c r="I16" i="3"/>
  <c r="H17" i="3"/>
  <c r="N16" i="3"/>
  <c r="K16" i="3"/>
  <c r="Q16" i="3"/>
  <c r="M17" i="3"/>
  <c r="M6" i="3"/>
  <c r="M7" i="3" s="1"/>
  <c r="M8" i="3" s="1"/>
  <c r="M9" i="3" s="1"/>
  <c r="M10" i="3" s="1"/>
  <c r="M11" i="3" s="1"/>
  <c r="M12" i="3" s="1"/>
  <c r="M13" i="3" s="1"/>
  <c r="M14" i="3" s="1"/>
  <c r="M15" i="3" s="1"/>
  <c r="J6" i="3"/>
  <c r="J7" i="3" s="1"/>
  <c r="J8" i="3" s="1"/>
  <c r="J9" i="3" s="1"/>
  <c r="J10" i="3" s="1"/>
  <c r="J11" i="3" s="1"/>
  <c r="J12" i="3" s="1"/>
  <c r="J13" i="3" s="1"/>
  <c r="J14" i="3" s="1"/>
  <c r="J15" i="3" s="1"/>
  <c r="P6" i="3"/>
  <c r="P7" i="3" s="1"/>
  <c r="P8" i="3" s="1"/>
  <c r="P9" i="3" s="1"/>
  <c r="P10" i="3" s="1"/>
  <c r="P11" i="3" s="1"/>
  <c r="P12" i="3" s="1"/>
  <c r="P13" i="3" s="1"/>
  <c r="P14" i="3" s="1"/>
  <c r="P15" i="3" s="1"/>
  <c r="H6" i="3"/>
  <c r="G7" i="3"/>
  <c r="B19" i="35"/>
  <c r="R4" i="23"/>
  <c r="AA162" i="33"/>
  <c r="AA19" i="24" s="1"/>
  <c r="AB176" i="33"/>
  <c r="AB20" i="24" s="1"/>
  <c r="S162" i="33"/>
  <c r="S19" i="24" s="1"/>
  <c r="S15" i="24"/>
  <c r="AD15" i="24" s="1"/>
  <c r="S120" i="33"/>
  <c r="S16" i="24" s="1"/>
  <c r="AD16" i="24" s="1"/>
  <c r="S176" i="33"/>
  <c r="S20" i="24" s="1"/>
  <c r="U4" i="23"/>
  <c r="AC176" i="33"/>
  <c r="AC20" i="24" s="1"/>
  <c r="AA76" i="33"/>
  <c r="AA11" i="24" s="1"/>
  <c r="AB162" i="33"/>
  <c r="AB76" i="33"/>
  <c r="AB11" i="24" s="1"/>
  <c r="AB6" i="33"/>
  <c r="AC6" i="33"/>
  <c r="Z4" i="23"/>
  <c r="AC11" i="24"/>
  <c r="W4" i="23"/>
  <c r="Y4" i="23"/>
  <c r="AA20" i="33"/>
  <c r="AA7" i="24" s="1"/>
  <c r="AD106" i="33"/>
  <c r="AC34" i="33"/>
  <c r="AC8" i="24" s="1"/>
  <c r="AD8" i="24" s="1"/>
  <c r="S435" i="33"/>
  <c r="S422" i="33" s="1"/>
  <c r="S45" i="24" s="1"/>
  <c r="Z435" i="33"/>
  <c r="Z422" i="33" s="1"/>
  <c r="Z45" i="24" s="1"/>
  <c r="AC435" i="33"/>
  <c r="AC422" i="33" s="1"/>
  <c r="AC45" i="24" s="1"/>
  <c r="T435" i="33"/>
  <c r="T422" i="33" s="1"/>
  <c r="T45" i="24" s="1"/>
  <c r="Y435" i="33"/>
  <c r="Y422" i="33" s="1"/>
  <c r="Y45" i="24" s="1"/>
  <c r="B4" i="35"/>
  <c r="B14" i="35"/>
  <c r="F14" i="35" s="1"/>
  <c r="B15" i="35"/>
  <c r="F15" i="35" s="1"/>
  <c r="B25" i="35"/>
  <c r="F25" i="35" s="1"/>
  <c r="U92" i="33"/>
  <c r="S92" i="33"/>
  <c r="S20" i="33"/>
  <c r="S7" i="24" s="1"/>
  <c r="B20" i="35"/>
  <c r="H179" i="9"/>
  <c r="I179" i="9"/>
  <c r="J179" i="9"/>
  <c r="K179" i="9"/>
  <c r="I88" i="10"/>
  <c r="H88" i="10"/>
  <c r="G88" i="10"/>
  <c r="F4" i="35" l="1"/>
  <c r="S14" i="24"/>
  <c r="U14" i="24"/>
  <c r="AB6" i="24"/>
  <c r="AC6" i="24"/>
  <c r="L16" i="3"/>
  <c r="K17" i="3"/>
  <c r="M18" i="3"/>
  <c r="O16" i="3"/>
  <c r="N17" i="3"/>
  <c r="G19" i="3"/>
  <c r="E16" i="3"/>
  <c r="I17" i="3"/>
  <c r="P18" i="3"/>
  <c r="Q17" i="3"/>
  <c r="R16" i="3"/>
  <c r="D17" i="3"/>
  <c r="J18" i="3"/>
  <c r="K6" i="3"/>
  <c r="N6" i="3"/>
  <c r="Q6" i="3"/>
  <c r="Q7" i="3" s="1"/>
  <c r="F8" i="35"/>
  <c r="F19" i="35"/>
  <c r="F13" i="35"/>
  <c r="F24" i="35"/>
  <c r="G8" i="3"/>
  <c r="F20" i="35"/>
  <c r="F5" i="35"/>
  <c r="H7" i="3"/>
  <c r="AE106" i="33"/>
  <c r="AD45" i="24"/>
  <c r="AD44" i="24" s="1"/>
  <c r="B21" i="35"/>
  <c r="F21" i="35" s="1"/>
  <c r="AD120" i="33"/>
  <c r="AE120" i="33" s="1"/>
  <c r="AD162" i="33"/>
  <c r="AE162" i="33" s="1"/>
  <c r="AD176" i="33"/>
  <c r="AE176" i="33" s="1"/>
  <c r="AB19" i="24"/>
  <c r="AD19" i="24" s="1"/>
  <c r="AD20" i="24"/>
  <c r="AA4" i="23"/>
  <c r="B24" i="35"/>
  <c r="F28" i="35" s="1"/>
  <c r="AD11" i="24"/>
  <c r="AC4" i="23"/>
  <c r="AB20" i="33"/>
  <c r="AB7" i="24" s="1"/>
  <c r="S4" i="23"/>
  <c r="B23" i="35"/>
  <c r="F23" i="35" s="1"/>
  <c r="AB4" i="23"/>
  <c r="AC20" i="33"/>
  <c r="AC7" i="24" s="1"/>
  <c r="AD76" i="33"/>
  <c r="AE76" i="33" s="1"/>
  <c r="AI76" i="33" s="1"/>
  <c r="AH11" i="24" s="1"/>
  <c r="AD34" i="33"/>
  <c r="AE34" i="33" s="1"/>
  <c r="AD422" i="33"/>
  <c r="AD421" i="33" s="1"/>
  <c r="AD92" i="33"/>
  <c r="AD6" i="33"/>
  <c r="F107" i="14"/>
  <c r="F72" i="14"/>
  <c r="F37" i="14"/>
  <c r="B34" i="35" l="1"/>
  <c r="B35" i="35"/>
  <c r="AD14" i="24"/>
  <c r="AD6" i="24"/>
  <c r="AH162" i="33"/>
  <c r="AG19" i="24" s="1"/>
  <c r="AI162" i="33"/>
  <c r="AH19" i="24" s="1"/>
  <c r="AF162" i="33"/>
  <c r="AG162" i="33"/>
  <c r="AF19" i="24" s="1"/>
  <c r="AI106" i="33"/>
  <c r="AH15" i="24" s="1"/>
  <c r="AH106" i="33"/>
  <c r="AG15" i="24" s="1"/>
  <c r="AG106" i="33"/>
  <c r="AF15" i="24" s="1"/>
  <c r="AF106" i="33"/>
  <c r="AG120" i="33"/>
  <c r="AF16" i="24" s="1"/>
  <c r="AF120" i="33"/>
  <c r="AI120" i="33"/>
  <c r="AH16" i="24" s="1"/>
  <c r="AH120" i="33"/>
  <c r="AG16" i="24" s="1"/>
  <c r="AI34" i="33"/>
  <c r="AH8" i="24" s="1"/>
  <c r="AF34" i="33"/>
  <c r="AH34" i="33"/>
  <c r="AG8" i="24" s="1"/>
  <c r="AG34" i="33"/>
  <c r="AF8" i="24" s="1"/>
  <c r="N7" i="3"/>
  <c r="K7" i="3"/>
  <c r="F16" i="3"/>
  <c r="J19" i="3"/>
  <c r="R17" i="3"/>
  <c r="E17" i="3"/>
  <c r="O17" i="3"/>
  <c r="M19" i="3"/>
  <c r="D18" i="3"/>
  <c r="L17" i="3"/>
  <c r="P19" i="3"/>
  <c r="G20" i="3"/>
  <c r="G9" i="3"/>
  <c r="F26" i="35"/>
  <c r="F2" i="35"/>
  <c r="AD20" i="33"/>
  <c r="AE20" i="33" s="1"/>
  <c r="AF20" i="33" s="1"/>
  <c r="AE422" i="33"/>
  <c r="AG422" i="33" s="1"/>
  <c r="AD7" i="24"/>
  <c r="AD5" i="24" s="1"/>
  <c r="AD13" i="24"/>
  <c r="AG76" i="33"/>
  <c r="AF11" i="24" s="1"/>
  <c r="AH76" i="33"/>
  <c r="AG11" i="24" s="1"/>
  <c r="AF76" i="33"/>
  <c r="AG176" i="33"/>
  <c r="AF20" i="24" s="1"/>
  <c r="AF176" i="33"/>
  <c r="AI176" i="33"/>
  <c r="AH20" i="24" s="1"/>
  <c r="AH176" i="33"/>
  <c r="AG20" i="24" s="1"/>
  <c r="AD91" i="33"/>
  <c r="AE92" i="33"/>
  <c r="AF92" i="33" s="1"/>
  <c r="AE6" i="33"/>
  <c r="AF6" i="33" s="1"/>
  <c r="C2" i="24"/>
  <c r="C7" i="34"/>
  <c r="C4" i="34"/>
  <c r="AE16" i="24" l="1"/>
  <c r="AE19" i="24"/>
  <c r="AE7" i="24"/>
  <c r="AE11" i="24"/>
  <c r="AE8" i="24"/>
  <c r="AE91" i="33"/>
  <c r="AE20" i="24"/>
  <c r="AE15" i="24"/>
  <c r="AE14" i="24"/>
  <c r="AE6" i="24"/>
  <c r="D19" i="3"/>
  <c r="F17" i="3"/>
  <c r="P20" i="3"/>
  <c r="M20" i="3"/>
  <c r="C8" i="34"/>
  <c r="G21" i="3"/>
  <c r="J20" i="3"/>
  <c r="F32" i="35"/>
  <c r="B36" i="35" s="1"/>
  <c r="G10" i="3"/>
  <c r="AH20" i="33"/>
  <c r="AG7" i="24" s="1"/>
  <c r="AI20" i="33"/>
  <c r="AH7" i="24" s="1"/>
  <c r="AG20" i="33"/>
  <c r="AF7" i="24" s="1"/>
  <c r="AG421" i="33"/>
  <c r="AF45" i="24"/>
  <c r="AF44" i="24" s="1"/>
  <c r="AF422" i="33"/>
  <c r="AI422" i="33"/>
  <c r="AH422" i="33"/>
  <c r="AG6" i="33"/>
  <c r="AH6" i="33"/>
  <c r="AI6" i="33"/>
  <c r="G16" i="35" l="1"/>
  <c r="G17" i="35"/>
  <c r="G30" i="35"/>
  <c r="G14" i="35"/>
  <c r="G9" i="35"/>
  <c r="G10" i="35"/>
  <c r="G18" i="35"/>
  <c r="G27" i="35"/>
  <c r="G4" i="35"/>
  <c r="G28" i="35"/>
  <c r="G25" i="35"/>
  <c r="D20" i="3"/>
  <c r="G26" i="35"/>
  <c r="G24" i="35"/>
  <c r="G20" i="35"/>
  <c r="G15" i="35"/>
  <c r="F441" i="33"/>
  <c r="F442" i="33" s="1"/>
  <c r="G3" i="35"/>
  <c r="M21" i="3"/>
  <c r="G2" i="35"/>
  <c r="G31" i="35"/>
  <c r="G22" i="35"/>
  <c r="J21" i="3"/>
  <c r="G5" i="35"/>
  <c r="G21" i="35"/>
  <c r="G6" i="35"/>
  <c r="G22" i="3"/>
  <c r="P21" i="3"/>
  <c r="G13" i="35"/>
  <c r="G8" i="35"/>
  <c r="G11" i="35"/>
  <c r="G23" i="35"/>
  <c r="G12" i="35"/>
  <c r="G7" i="35"/>
  <c r="G19" i="35"/>
  <c r="G29" i="35"/>
  <c r="G11" i="3"/>
  <c r="AG45" i="24"/>
  <c r="AH421" i="33"/>
  <c r="AH45" i="24"/>
  <c r="AI421" i="33"/>
  <c r="AE421" i="33"/>
  <c r="AE45" i="24"/>
  <c r="AG6" i="24"/>
  <c r="AH6" i="24"/>
  <c r="AF6" i="24"/>
  <c r="AF421" i="33"/>
  <c r="AH3" i="23"/>
  <c r="D21" i="3" l="1"/>
  <c r="G32" i="35"/>
  <c r="B40" i="35" s="1"/>
  <c r="B41" i="35" s="1"/>
  <c r="G23" i="3"/>
  <c r="P22" i="3"/>
  <c r="J22" i="3"/>
  <c r="M22" i="3"/>
  <c r="G12" i="3"/>
  <c r="AE44" i="24"/>
  <c r="M23" i="3" l="1"/>
  <c r="J23" i="3"/>
  <c r="D22" i="3"/>
  <c r="G24" i="3"/>
  <c r="P23" i="3"/>
  <c r="G13" i="3"/>
  <c r="D23" i="3" l="1"/>
  <c r="G25" i="3"/>
  <c r="M24" i="3"/>
  <c r="P24" i="3"/>
  <c r="J24" i="3"/>
  <c r="G14" i="3"/>
  <c r="AD4" i="23"/>
  <c r="J25" i="3" l="1"/>
  <c r="M25" i="3"/>
  <c r="D24" i="3"/>
  <c r="P25" i="3"/>
  <c r="G15" i="3"/>
  <c r="E37" i="17"/>
  <c r="E38" i="17" s="1"/>
  <c r="E39" i="17" s="1"/>
  <c r="E40" i="17" s="1"/>
  <c r="E41" i="17" s="1"/>
  <c r="E42" i="17" s="1"/>
  <c r="E43" i="17" s="1"/>
  <c r="E44" i="17" s="1"/>
  <c r="E45" i="17" s="1"/>
  <c r="D25" i="3" l="1"/>
  <c r="C4" i="27"/>
  <c r="E12" i="27" l="1"/>
  <c r="E11" i="27"/>
  <c r="E10" i="27"/>
  <c r="H4" i="10" s="1"/>
  <c r="E9" i="27"/>
  <c r="E8" i="27"/>
  <c r="E7" i="27"/>
  <c r="E6" i="27"/>
  <c r="E5" i="27"/>
  <c r="E4" i="27"/>
  <c r="E3" i="27"/>
  <c r="I4" i="10" l="1"/>
  <c r="G4" i="10"/>
  <c r="G41" i="10"/>
  <c r="F4" i="10"/>
  <c r="AV84" i="19"/>
  <c r="AV83" i="19"/>
  <c r="AV82" i="19"/>
  <c r="AV81" i="19"/>
  <c r="AV80" i="19"/>
  <c r="AV78" i="19"/>
  <c r="AV77" i="19"/>
  <c r="AV76" i="19"/>
  <c r="AV75" i="19"/>
  <c r="AV74" i="19"/>
  <c r="AV72" i="19"/>
  <c r="AV71" i="19"/>
  <c r="AV70" i="19"/>
  <c r="AV69" i="19"/>
  <c r="AV68" i="19"/>
  <c r="AV67" i="19"/>
  <c r="AV65" i="19"/>
  <c r="AV64" i="19"/>
  <c r="AV63" i="19"/>
  <c r="AV62" i="19"/>
  <c r="AV61" i="19"/>
  <c r="AO84" i="19"/>
  <c r="AO83" i="19"/>
  <c r="AO82" i="19"/>
  <c r="AO81" i="19"/>
  <c r="AO80" i="19"/>
  <c r="AO67" i="19"/>
  <c r="AO65" i="19"/>
  <c r="AO64" i="19"/>
  <c r="AO63" i="19"/>
  <c r="AO62" i="19"/>
  <c r="AO61" i="19"/>
  <c r="AC5" i="19"/>
  <c r="AC6" i="19"/>
  <c r="AC7" i="19"/>
  <c r="AC8" i="19"/>
  <c r="AC9" i="19"/>
  <c r="AC10" i="19"/>
  <c r="AC61" i="19"/>
  <c r="AC62" i="19"/>
  <c r="AC63" i="19"/>
  <c r="AC64" i="19"/>
  <c r="AC65" i="19"/>
  <c r="AC67" i="19"/>
  <c r="AC68" i="19"/>
  <c r="AC69" i="19"/>
  <c r="AC70" i="19"/>
  <c r="AC71" i="19"/>
  <c r="AC72" i="19"/>
  <c r="AC74" i="19"/>
  <c r="AC75" i="19"/>
  <c r="AC76" i="19"/>
  <c r="AC77" i="19"/>
  <c r="AC78" i="19"/>
  <c r="AC80" i="19"/>
  <c r="AC81" i="19"/>
  <c r="AC82" i="19"/>
  <c r="AC83" i="19"/>
  <c r="AC84" i="19"/>
  <c r="K4" i="9" l="1"/>
  <c r="K57" i="9"/>
  <c r="K150" i="9"/>
  <c r="K175" i="9" s="1"/>
  <c r="AS89" i="19" l="1"/>
  <c r="AT89" i="19" s="1"/>
  <c r="AL89" i="19"/>
  <c r="AM89" i="19" s="1"/>
  <c r="AD89" i="19"/>
  <c r="AC89" i="19"/>
  <c r="AS84" i="19"/>
  <c r="AT84" i="19" s="1"/>
  <c r="AS83" i="19"/>
  <c r="AT83" i="19" s="1"/>
  <c r="AS82" i="19"/>
  <c r="AT82" i="19" s="1"/>
  <c r="AS81" i="19"/>
  <c r="AS80" i="19"/>
  <c r="AT80" i="19" s="1"/>
  <c r="AX80" i="19" s="1"/>
  <c r="AS78" i="19"/>
  <c r="AT78" i="19" s="1"/>
  <c r="AS77" i="19"/>
  <c r="AT77" i="19" s="1"/>
  <c r="AS76" i="19"/>
  <c r="AT76" i="19" s="1"/>
  <c r="AS75" i="19"/>
  <c r="AS74" i="19"/>
  <c r="AT74" i="19" s="1"/>
  <c r="AX74" i="19" s="1"/>
  <c r="AS72" i="19"/>
  <c r="AT72" i="19" s="1"/>
  <c r="AS71" i="19"/>
  <c r="AS70" i="19"/>
  <c r="AT70" i="19" s="1"/>
  <c r="AS69" i="19"/>
  <c r="AS68" i="19"/>
  <c r="AT68" i="19" s="1"/>
  <c r="AS67" i="19"/>
  <c r="AT67" i="19" s="1"/>
  <c r="AX67" i="19" s="1"/>
  <c r="AS65" i="19"/>
  <c r="AT65" i="19" s="1"/>
  <c r="AS64" i="19"/>
  <c r="AT64" i="19" s="1"/>
  <c r="AS63" i="19"/>
  <c r="AT63" i="19" s="1"/>
  <c r="AS62" i="19"/>
  <c r="AS61" i="19"/>
  <c r="AT61" i="19" s="1"/>
  <c r="AX61" i="19" s="1"/>
  <c r="AS10" i="19"/>
  <c r="AT10" i="19" s="1"/>
  <c r="AS9" i="19"/>
  <c r="AT9" i="19" s="1"/>
  <c r="AS8" i="19"/>
  <c r="AT8" i="19" s="1"/>
  <c r="AS7" i="19"/>
  <c r="AT7" i="19" s="1"/>
  <c r="AS6" i="19"/>
  <c r="AT6" i="19" s="1"/>
  <c r="AS5" i="19"/>
  <c r="AT5" i="19" s="1"/>
  <c r="AL72" i="19"/>
  <c r="AL71" i="19"/>
  <c r="AL70" i="19"/>
  <c r="AM70" i="19" s="1"/>
  <c r="AL69" i="19"/>
  <c r="AM69" i="19" s="1"/>
  <c r="AL68" i="19"/>
  <c r="AL84" i="19"/>
  <c r="AL83" i="19"/>
  <c r="AM83" i="19" s="1"/>
  <c r="AL82" i="19"/>
  <c r="AL81" i="19"/>
  <c r="AL80" i="19"/>
  <c r="AL78" i="19"/>
  <c r="AM78" i="19" s="1"/>
  <c r="AL77" i="19"/>
  <c r="AM77" i="19" s="1"/>
  <c r="AL76" i="19"/>
  <c r="AL75" i="19"/>
  <c r="AL74" i="19"/>
  <c r="AL67" i="19"/>
  <c r="AL65" i="19"/>
  <c r="AL64" i="19"/>
  <c r="AM64" i="19" s="1"/>
  <c r="AL63" i="19"/>
  <c r="AM63" i="19" s="1"/>
  <c r="AL62" i="19"/>
  <c r="AL61" i="19"/>
  <c r="AL10" i="19"/>
  <c r="AM10" i="19" s="1"/>
  <c r="AL9" i="19"/>
  <c r="AL8" i="19"/>
  <c r="AM8" i="19" s="1"/>
  <c r="AL7" i="19"/>
  <c r="AM7" i="19" s="1"/>
  <c r="AL6" i="19"/>
  <c r="AL5" i="19"/>
  <c r="A88" i="26"/>
  <c r="BH75" i="19"/>
  <c r="BG75" i="19"/>
  <c r="BF75" i="19"/>
  <c r="BE75" i="19"/>
  <c r="AD74" i="19"/>
  <c r="AG74" i="19" s="1"/>
  <c r="AD75" i="19"/>
  <c r="AG75" i="19" s="1"/>
  <c r="AI75" i="19" s="1"/>
  <c r="AD76" i="19"/>
  <c r="AG76" i="19" s="1"/>
  <c r="AI76" i="19" s="1"/>
  <c r="AP74" i="19" l="1"/>
  <c r="AI74" i="19"/>
  <c r="AP75" i="19"/>
  <c r="AW75" i="19"/>
  <c r="AP76" i="19"/>
  <c r="F1" i="10"/>
  <c r="A6" i="26"/>
  <c r="I1" i="9"/>
  <c r="M1" i="3" s="1"/>
  <c r="A76" i="26"/>
  <c r="I1" i="10"/>
  <c r="A87" i="26"/>
  <c r="G1" i="10"/>
  <c r="A73" i="26"/>
  <c r="AX68" i="19"/>
  <c r="AQ63" i="19"/>
  <c r="AQ64" i="19"/>
  <c r="AX82" i="19"/>
  <c r="AX83" i="19"/>
  <c r="AX84" i="19"/>
  <c r="AQ83" i="19"/>
  <c r="AX78" i="19"/>
  <c r="AX76" i="19"/>
  <c r="AX77" i="19"/>
  <c r="AQ77" i="19"/>
  <c r="AQ78" i="19"/>
  <c r="AX72" i="19"/>
  <c r="AX70" i="19"/>
  <c r="AQ69" i="19"/>
  <c r="AQ70" i="19"/>
  <c r="AX64" i="19"/>
  <c r="AX65" i="19"/>
  <c r="AX63" i="19"/>
  <c r="AW76" i="19"/>
  <c r="AM9" i="19"/>
  <c r="AM71" i="19"/>
  <c r="AQ71" i="19" s="1"/>
  <c r="AM80" i="19"/>
  <c r="AQ80" i="19" s="1"/>
  <c r="AM67" i="19"/>
  <c r="AQ67" i="19" s="1"/>
  <c r="AM6" i="19"/>
  <c r="AM61" i="19"/>
  <c r="AQ61" i="19" s="1"/>
  <c r="AM62" i="19"/>
  <c r="AQ62" i="19" s="1"/>
  <c r="AM81" i="19"/>
  <c r="AQ81" i="19" s="1"/>
  <c r="AM5" i="19"/>
  <c r="AM65" i="19"/>
  <c r="AQ65" i="19" s="1"/>
  <c r="AM84" i="19"/>
  <c r="AQ84" i="19" s="1"/>
  <c r="AM68" i="19"/>
  <c r="AQ68" i="19" s="1"/>
  <c r="AM75" i="19"/>
  <c r="AQ75" i="19" s="1"/>
  <c r="AM72" i="19"/>
  <c r="AQ72" i="19" s="1"/>
  <c r="AM82" i="19"/>
  <c r="AQ82" i="19" s="1"/>
  <c r="AM74" i="19"/>
  <c r="AQ74" i="19" s="1"/>
  <c r="AM76" i="19"/>
  <c r="AQ76" i="19" s="1"/>
  <c r="AT81" i="19"/>
  <c r="AX81" i="19" s="1"/>
  <c r="AT75" i="19"/>
  <c r="AX75" i="19" s="1"/>
  <c r="AW74" i="19"/>
  <c r="AT71" i="19"/>
  <c r="AX71" i="19" s="1"/>
  <c r="AT69" i="19"/>
  <c r="AX69" i="19" s="1"/>
  <c r="AT62" i="19"/>
  <c r="AX62" i="19" s="1"/>
  <c r="G1" i="3"/>
  <c r="J1" i="9"/>
  <c r="P1" i="3" s="1"/>
  <c r="Q2" i="20"/>
  <c r="R2" i="20"/>
  <c r="S2" i="20"/>
  <c r="H1" i="9"/>
  <c r="J1" i="3" s="1"/>
  <c r="P2" i="20"/>
  <c r="H1" i="10"/>
  <c r="K27" i="9" l="1"/>
  <c r="K26" i="9"/>
  <c r="AJ74" i="19"/>
  <c r="AJ76" i="19"/>
  <c r="AJ75" i="19"/>
  <c r="AI112" i="23" l="1"/>
  <c r="AH112" i="23"/>
  <c r="AG112" i="23"/>
  <c r="E128" i="14" l="1"/>
  <c r="E127" i="14"/>
  <c r="E126" i="14"/>
  <c r="E125" i="14"/>
  <c r="E124" i="14"/>
  <c r="E123" i="14"/>
  <c r="E122" i="14"/>
  <c r="E121" i="14"/>
  <c r="E120" i="14"/>
  <c r="D120" i="14" s="1"/>
  <c r="E119" i="14"/>
  <c r="D119" i="14" s="1"/>
  <c r="E118" i="14"/>
  <c r="E117" i="14"/>
  <c r="E116" i="14"/>
  <c r="E115" i="14"/>
  <c r="E114" i="14"/>
  <c r="E113" i="14"/>
  <c r="E112" i="14"/>
  <c r="E111" i="14"/>
  <c r="E110" i="14"/>
  <c r="E109" i="14"/>
  <c r="A107" i="14"/>
  <c r="E85" i="14"/>
  <c r="D85" i="14" s="1"/>
  <c r="E84" i="14"/>
  <c r="D84" i="14" s="1"/>
  <c r="A72" i="14"/>
  <c r="E50" i="14"/>
  <c r="D50" i="14" s="1"/>
  <c r="E49" i="14"/>
  <c r="D49" i="14" s="1"/>
  <c r="A37" i="14"/>
  <c r="E15" i="14"/>
  <c r="D15" i="14" s="1"/>
  <c r="E14" i="14"/>
  <c r="D14" i="14" s="1"/>
  <c r="A2" i="14"/>
  <c r="D8" i="1"/>
  <c r="AO119" i="26"/>
  <c r="AN119" i="26"/>
  <c r="AM119" i="26"/>
  <c r="AF119" i="26"/>
  <c r="AE119" i="26"/>
  <c r="AD119" i="26"/>
  <c r="AC119" i="26"/>
  <c r="AP118" i="26"/>
  <c r="AH118" i="26"/>
  <c r="AG118" i="26"/>
  <c r="AP88" i="26"/>
  <c r="AH88" i="26"/>
  <c r="AG88" i="26"/>
  <c r="AP87" i="26"/>
  <c r="AH87" i="26"/>
  <c r="AG87" i="26"/>
  <c r="AP76" i="26"/>
  <c r="AH76" i="26"/>
  <c r="AG76" i="26"/>
  <c r="AI76" i="26" s="1"/>
  <c r="AP73" i="26"/>
  <c r="AH73" i="26"/>
  <c r="AG73" i="26"/>
  <c r="AP6" i="26"/>
  <c r="AH6" i="26"/>
  <c r="AG6" i="26"/>
  <c r="E28" i="27"/>
  <c r="E27" i="27"/>
  <c r="E26" i="27"/>
  <c r="E25" i="27"/>
  <c r="E24" i="27"/>
  <c r="E23" i="27"/>
  <c r="E22" i="27"/>
  <c r="E21" i="27"/>
  <c r="E20" i="27"/>
  <c r="E19" i="27"/>
  <c r="E18" i="27"/>
  <c r="E17" i="27"/>
  <c r="E16" i="27"/>
  <c r="E15" i="27"/>
  <c r="E14" i="27"/>
  <c r="E13" i="27"/>
  <c r="AD84" i="19"/>
  <c r="AG84" i="19" s="1"/>
  <c r="AI84" i="19"/>
  <c r="AD83" i="19"/>
  <c r="AG83" i="19" s="1"/>
  <c r="AI83" i="19" s="1"/>
  <c r="AD82" i="19"/>
  <c r="AG82" i="19" s="1"/>
  <c r="AI82" i="19" s="1"/>
  <c r="AD81" i="19"/>
  <c r="AG81" i="19" s="1"/>
  <c r="AI81" i="19" s="1"/>
  <c r="AD80" i="19"/>
  <c r="AG80" i="19" s="1"/>
  <c r="AD78" i="19"/>
  <c r="AG78" i="19" s="1"/>
  <c r="AI78" i="19" s="1"/>
  <c r="AD77" i="19"/>
  <c r="AG77" i="19" s="1"/>
  <c r="AI77" i="19" s="1"/>
  <c r="AD72" i="19"/>
  <c r="AG72" i="19" s="1"/>
  <c r="AI72" i="19" s="1"/>
  <c r="AD71" i="19"/>
  <c r="AG71" i="19" s="1"/>
  <c r="AI71" i="19" s="1"/>
  <c r="AD70" i="19"/>
  <c r="AG70" i="19" s="1"/>
  <c r="AI70" i="19" s="1"/>
  <c r="AD69" i="19"/>
  <c r="AG69" i="19" s="1"/>
  <c r="AI69" i="19" s="1"/>
  <c r="AD68" i="19"/>
  <c r="AG68" i="19" s="1"/>
  <c r="AI68" i="19" s="1"/>
  <c r="AD67" i="19"/>
  <c r="AG67" i="19" s="1"/>
  <c r="AI67" i="19" s="1"/>
  <c r="AD65" i="19"/>
  <c r="AG65" i="19" s="1"/>
  <c r="AI65" i="19" s="1"/>
  <c r="AD64" i="19"/>
  <c r="AG64" i="19" s="1"/>
  <c r="AI64" i="19" s="1"/>
  <c r="AD63" i="19"/>
  <c r="AG63" i="19" s="1"/>
  <c r="AI63" i="19" s="1"/>
  <c r="AD62" i="19"/>
  <c r="AG62" i="19" s="1"/>
  <c r="AI62" i="19" s="1"/>
  <c r="AD61" i="19"/>
  <c r="AG61" i="19" s="1"/>
  <c r="AI61" i="19" s="1"/>
  <c r="AD10" i="19"/>
  <c r="AD9" i="19"/>
  <c r="AD8" i="19"/>
  <c r="AD7" i="19"/>
  <c r="AD6" i="19"/>
  <c r="AD5" i="19"/>
  <c r="E84" i="10"/>
  <c r="E83" i="10"/>
  <c r="E82" i="10"/>
  <c r="E81" i="10"/>
  <c r="E80" i="10"/>
  <c r="E79" i="10"/>
  <c r="E78" i="10"/>
  <c r="E77" i="10"/>
  <c r="E76" i="10"/>
  <c r="E75" i="10"/>
  <c r="E74" i="10"/>
  <c r="E73" i="10"/>
  <c r="E72" i="10"/>
  <c r="E71" i="10"/>
  <c r="E70" i="10"/>
  <c r="E69" i="10"/>
  <c r="E68" i="10"/>
  <c r="E67" i="10"/>
  <c r="E66" i="10"/>
  <c r="E65" i="10"/>
  <c r="E64" i="10"/>
  <c r="E63" i="10"/>
  <c r="E62" i="10"/>
  <c r="E61" i="10"/>
  <c r="E60" i="10"/>
  <c r="E59" i="10"/>
  <c r="E58" i="10"/>
  <c r="E57" i="10"/>
  <c r="E56" i="10"/>
  <c r="E55" i="10"/>
  <c r="E54" i="10"/>
  <c r="E53" i="10"/>
  <c r="E52" i="10"/>
  <c r="E51" i="10"/>
  <c r="E50" i="10"/>
  <c r="E49" i="10"/>
  <c r="E48" i="10"/>
  <c r="E47" i="10"/>
  <c r="E46" i="10"/>
  <c r="E45" i="10"/>
  <c r="E44" i="10"/>
  <c r="E43" i="10"/>
  <c r="E42" i="10"/>
  <c r="E41" i="10"/>
  <c r="E40" i="10"/>
  <c r="E39" i="10"/>
  <c r="E38" i="10"/>
  <c r="E37" i="10"/>
  <c r="E36" i="10"/>
  <c r="E35" i="10"/>
  <c r="I34" i="10"/>
  <c r="S12" i="20" s="1"/>
  <c r="H34" i="10"/>
  <c r="R12" i="20" s="1"/>
  <c r="G34" i="10"/>
  <c r="Q12" i="20" s="1"/>
  <c r="F34" i="10"/>
  <c r="P12" i="20" s="1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J12" i="11" s="1"/>
  <c r="J41" i="11" s="1"/>
  <c r="E9" i="10"/>
  <c r="E8" i="10"/>
  <c r="E7" i="10"/>
  <c r="E6" i="10"/>
  <c r="E5" i="10"/>
  <c r="E4" i="10"/>
  <c r="I3" i="10"/>
  <c r="S8" i="20" s="1"/>
  <c r="H3" i="10"/>
  <c r="G3" i="10"/>
  <c r="F3" i="10"/>
  <c r="F170" i="9"/>
  <c r="F169" i="9"/>
  <c r="F168" i="9"/>
  <c r="F167" i="9"/>
  <c r="F166" i="9"/>
  <c r="F165" i="9"/>
  <c r="F164" i="9"/>
  <c r="F163" i="9"/>
  <c r="F162" i="9"/>
  <c r="F161" i="9"/>
  <c r="F160" i="9"/>
  <c r="F159" i="9"/>
  <c r="F158" i="9"/>
  <c r="F157" i="9"/>
  <c r="F156" i="9"/>
  <c r="F155" i="9"/>
  <c r="F154" i="9"/>
  <c r="F153" i="9"/>
  <c r="F11" i="11" s="1"/>
  <c r="F40" i="11" s="1"/>
  <c r="F152" i="9"/>
  <c r="F151" i="9"/>
  <c r="J150" i="9"/>
  <c r="I150" i="9"/>
  <c r="H150" i="9"/>
  <c r="G150" i="9"/>
  <c r="F149" i="9"/>
  <c r="F148" i="9"/>
  <c r="F147" i="9"/>
  <c r="F146" i="9"/>
  <c r="F145" i="9"/>
  <c r="F144" i="9"/>
  <c r="F143" i="9"/>
  <c r="F142" i="9"/>
  <c r="F139" i="9"/>
  <c r="F138" i="9"/>
  <c r="F137" i="9"/>
  <c r="F136" i="9"/>
  <c r="F135" i="9"/>
  <c r="F134" i="9"/>
  <c r="F133" i="9"/>
  <c r="F132" i="9"/>
  <c r="F128" i="9"/>
  <c r="F127" i="9"/>
  <c r="F126" i="9"/>
  <c r="F125" i="9"/>
  <c r="F124" i="9"/>
  <c r="F123" i="9"/>
  <c r="F122" i="9"/>
  <c r="F121" i="9"/>
  <c r="F120" i="9"/>
  <c r="F119" i="9"/>
  <c r="F108" i="9"/>
  <c r="F107" i="9"/>
  <c r="F106" i="9"/>
  <c r="F105" i="9"/>
  <c r="F104" i="9"/>
  <c r="F103" i="9"/>
  <c r="F102" i="9"/>
  <c r="F101" i="9"/>
  <c r="F100" i="9"/>
  <c r="F99" i="9"/>
  <c r="F98" i="9"/>
  <c r="F97" i="9"/>
  <c r="F96" i="9"/>
  <c r="F95" i="9"/>
  <c r="F94" i="9"/>
  <c r="F93" i="9"/>
  <c r="F92" i="9"/>
  <c r="F91" i="9"/>
  <c r="F90" i="9"/>
  <c r="F89" i="9"/>
  <c r="F80" i="9"/>
  <c r="F79" i="9"/>
  <c r="F77" i="9"/>
  <c r="F76" i="9"/>
  <c r="F75" i="9"/>
  <c r="F74" i="9"/>
  <c r="F73" i="9"/>
  <c r="F72" i="9"/>
  <c r="F71" i="9"/>
  <c r="F70" i="9"/>
  <c r="F69" i="9"/>
  <c r="F68" i="9"/>
  <c r="F67" i="9"/>
  <c r="F66" i="9"/>
  <c r="F65" i="9"/>
  <c r="F64" i="9"/>
  <c r="F63" i="9"/>
  <c r="F62" i="9"/>
  <c r="F61" i="9"/>
  <c r="F60" i="9"/>
  <c r="F59" i="9"/>
  <c r="F58" i="9"/>
  <c r="J57" i="9"/>
  <c r="S11" i="20" s="1"/>
  <c r="I57" i="9"/>
  <c r="H57" i="9"/>
  <c r="Q11" i="20" s="1"/>
  <c r="G57" i="9"/>
  <c r="F55" i="9"/>
  <c r="F54" i="9"/>
  <c r="F53" i="9"/>
  <c r="F52" i="9"/>
  <c r="F51" i="9"/>
  <c r="F50" i="9"/>
  <c r="F49" i="9"/>
  <c r="F48" i="9"/>
  <c r="F47" i="9"/>
  <c r="F46" i="9"/>
  <c r="F45" i="9"/>
  <c r="F44" i="9"/>
  <c r="F43" i="9"/>
  <c r="F42" i="9"/>
  <c r="F41" i="9"/>
  <c r="F40" i="9"/>
  <c r="F39" i="9"/>
  <c r="F38" i="9"/>
  <c r="F37" i="9"/>
  <c r="F36" i="9"/>
  <c r="F35" i="9"/>
  <c r="F34" i="9"/>
  <c r="F33" i="9"/>
  <c r="F32" i="9"/>
  <c r="F31" i="9"/>
  <c r="F30" i="9"/>
  <c r="F29" i="9"/>
  <c r="F28" i="9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F11" i="9"/>
  <c r="F10" i="9"/>
  <c r="F9" i="9"/>
  <c r="H7" i="11" s="1"/>
  <c r="F8" i="9"/>
  <c r="F7" i="9"/>
  <c r="F6" i="9"/>
  <c r="F5" i="9"/>
  <c r="J4" i="9"/>
  <c r="S7" i="20" s="1"/>
  <c r="I4" i="9"/>
  <c r="H4" i="9"/>
  <c r="Q7" i="20" s="1"/>
  <c r="G4" i="9"/>
  <c r="E3" i="18"/>
  <c r="E25" i="17"/>
  <c r="E4" i="17"/>
  <c r="M27" i="11"/>
  <c r="B13" i="6" s="1"/>
  <c r="L27" i="11"/>
  <c r="B12" i="6" s="1"/>
  <c r="K27" i="11"/>
  <c r="B11" i="6" s="1"/>
  <c r="J27" i="11"/>
  <c r="I27" i="11"/>
  <c r="B9" i="6" s="1"/>
  <c r="H27" i="11"/>
  <c r="B8" i="6" s="1"/>
  <c r="G27" i="11"/>
  <c r="F27" i="11"/>
  <c r="E27" i="11"/>
  <c r="B5" i="6" s="1"/>
  <c r="D27" i="11"/>
  <c r="B4" i="6" s="1"/>
  <c r="M25" i="11"/>
  <c r="H13" i="6" s="1"/>
  <c r="L25" i="11"/>
  <c r="H12" i="6" s="1"/>
  <c r="K25" i="11"/>
  <c r="H11" i="6" s="1"/>
  <c r="J25" i="11"/>
  <c r="H10" i="6" s="1"/>
  <c r="I25" i="11"/>
  <c r="H9" i="6" s="1"/>
  <c r="H25" i="11"/>
  <c r="H8" i="6" s="1"/>
  <c r="G25" i="11"/>
  <c r="H7" i="6" s="1"/>
  <c r="F25" i="11"/>
  <c r="H6" i="6" s="1"/>
  <c r="E25" i="11"/>
  <c r="H5" i="6" s="1"/>
  <c r="D25" i="11"/>
  <c r="H4" i="6" s="1"/>
  <c r="M23" i="11"/>
  <c r="E13" i="6" s="1"/>
  <c r="L23" i="11"/>
  <c r="K23" i="11"/>
  <c r="J23" i="11"/>
  <c r="I23" i="11"/>
  <c r="E9" i="6" s="1"/>
  <c r="H23" i="11"/>
  <c r="G23" i="11"/>
  <c r="E7" i="6" s="1"/>
  <c r="F23" i="11"/>
  <c r="E23" i="11"/>
  <c r="E5" i="6" s="1"/>
  <c r="D23" i="11"/>
  <c r="S157" i="3"/>
  <c r="P146" i="3"/>
  <c r="M146" i="3"/>
  <c r="J146" i="3"/>
  <c r="G146" i="3"/>
  <c r="P145" i="3"/>
  <c r="M145" i="3"/>
  <c r="J145" i="3"/>
  <c r="G145" i="3"/>
  <c r="P144" i="3"/>
  <c r="M144" i="3"/>
  <c r="J144" i="3"/>
  <c r="G144" i="3"/>
  <c r="P143" i="3"/>
  <c r="M143" i="3"/>
  <c r="J143" i="3"/>
  <c r="G143" i="3"/>
  <c r="P142" i="3"/>
  <c r="M142" i="3"/>
  <c r="J142" i="3"/>
  <c r="G142" i="3"/>
  <c r="P141" i="3"/>
  <c r="M141" i="3"/>
  <c r="J141" i="3"/>
  <c r="G141" i="3"/>
  <c r="P140" i="3"/>
  <c r="M140" i="3"/>
  <c r="J140" i="3"/>
  <c r="G140" i="3"/>
  <c r="P139" i="3"/>
  <c r="M139" i="3"/>
  <c r="J139" i="3"/>
  <c r="G139" i="3"/>
  <c r="Q138" i="3"/>
  <c r="P138" i="3"/>
  <c r="N138" i="3"/>
  <c r="M138" i="3"/>
  <c r="K138" i="3"/>
  <c r="J138" i="3"/>
  <c r="H138" i="3"/>
  <c r="G138" i="3"/>
  <c r="Q137" i="3"/>
  <c r="P137" i="3"/>
  <c r="N137" i="3"/>
  <c r="M137" i="3"/>
  <c r="K137" i="3"/>
  <c r="J137" i="3"/>
  <c r="H137" i="3"/>
  <c r="G137" i="3"/>
  <c r="D126" i="3"/>
  <c r="D125" i="3"/>
  <c r="D124" i="3"/>
  <c r="D123" i="3"/>
  <c r="D122" i="3"/>
  <c r="D121" i="3"/>
  <c r="D120" i="3"/>
  <c r="D119" i="3"/>
  <c r="D118" i="3"/>
  <c r="D117" i="3"/>
  <c r="P96" i="3"/>
  <c r="M96" i="3"/>
  <c r="J96" i="3"/>
  <c r="G96" i="3"/>
  <c r="P95" i="3"/>
  <c r="M95" i="3"/>
  <c r="J95" i="3"/>
  <c r="G95" i="3"/>
  <c r="P94" i="3"/>
  <c r="M94" i="3"/>
  <c r="J94" i="3"/>
  <c r="G94" i="3"/>
  <c r="P93" i="3"/>
  <c r="M93" i="3"/>
  <c r="J93" i="3"/>
  <c r="G93" i="3"/>
  <c r="P92" i="3"/>
  <c r="M92" i="3"/>
  <c r="J92" i="3"/>
  <c r="G92" i="3"/>
  <c r="P91" i="3"/>
  <c r="M91" i="3"/>
  <c r="J91" i="3"/>
  <c r="G91" i="3"/>
  <c r="P90" i="3"/>
  <c r="M90" i="3"/>
  <c r="J90" i="3"/>
  <c r="G90" i="3"/>
  <c r="P89" i="3"/>
  <c r="M89" i="3"/>
  <c r="J89" i="3"/>
  <c r="G89" i="3"/>
  <c r="P88" i="3"/>
  <c r="M88" i="3"/>
  <c r="J88" i="3"/>
  <c r="G88" i="3"/>
  <c r="S87" i="3"/>
  <c r="P87" i="3"/>
  <c r="M87" i="3"/>
  <c r="J87" i="3"/>
  <c r="G87" i="3"/>
  <c r="R65" i="3"/>
  <c r="O65" i="3"/>
  <c r="L65" i="3"/>
  <c r="I65" i="3"/>
  <c r="E65" i="3"/>
  <c r="D65" i="3"/>
  <c r="R64" i="3"/>
  <c r="O64" i="3"/>
  <c r="L64" i="3"/>
  <c r="I64" i="3"/>
  <c r="E64" i="3"/>
  <c r="D64" i="3"/>
  <c r="R63" i="3"/>
  <c r="O63" i="3"/>
  <c r="L63" i="3"/>
  <c r="I63" i="3"/>
  <c r="E63" i="3"/>
  <c r="D63" i="3"/>
  <c r="R62" i="3"/>
  <c r="O62" i="3"/>
  <c r="L62" i="3"/>
  <c r="I62" i="3"/>
  <c r="E62" i="3"/>
  <c r="D62" i="3"/>
  <c r="R61" i="3"/>
  <c r="O61" i="3"/>
  <c r="L61" i="3"/>
  <c r="I61" i="3"/>
  <c r="E61" i="3"/>
  <c r="D61" i="3"/>
  <c r="R60" i="3"/>
  <c r="O60" i="3"/>
  <c r="L60" i="3"/>
  <c r="I60" i="3"/>
  <c r="E60" i="3"/>
  <c r="D60" i="3"/>
  <c r="R59" i="3"/>
  <c r="O59" i="3"/>
  <c r="L59" i="3"/>
  <c r="I59" i="3"/>
  <c r="E59" i="3"/>
  <c r="D59" i="3"/>
  <c r="R58" i="3"/>
  <c r="O58" i="3"/>
  <c r="L58" i="3"/>
  <c r="I58" i="3"/>
  <c r="E58" i="3"/>
  <c r="D58" i="3"/>
  <c r="R57" i="3"/>
  <c r="O57" i="3"/>
  <c r="L57" i="3"/>
  <c r="I57" i="3"/>
  <c r="E57" i="3"/>
  <c r="D57" i="3"/>
  <c r="S56" i="3"/>
  <c r="R56" i="3"/>
  <c r="O56" i="3"/>
  <c r="L56" i="3"/>
  <c r="I56" i="3"/>
  <c r="E56" i="3"/>
  <c r="D56" i="3"/>
  <c r="S46" i="3"/>
  <c r="R45" i="3"/>
  <c r="O45" i="3"/>
  <c r="L45" i="3"/>
  <c r="I45" i="3"/>
  <c r="R44" i="3"/>
  <c r="O44" i="3"/>
  <c r="L44" i="3"/>
  <c r="I44" i="3"/>
  <c r="R43" i="3"/>
  <c r="O43" i="3"/>
  <c r="L43" i="3"/>
  <c r="I43" i="3"/>
  <c r="R42" i="3"/>
  <c r="O42" i="3"/>
  <c r="L42" i="3"/>
  <c r="I42" i="3"/>
  <c r="R41" i="3"/>
  <c r="O41" i="3"/>
  <c r="L41" i="3"/>
  <c r="I41" i="3"/>
  <c r="R40" i="3"/>
  <c r="O40" i="3"/>
  <c r="L40" i="3"/>
  <c r="I40" i="3"/>
  <c r="R39" i="3"/>
  <c r="O39" i="3"/>
  <c r="L39" i="3"/>
  <c r="I39" i="3"/>
  <c r="R38" i="3"/>
  <c r="O38" i="3"/>
  <c r="L38" i="3"/>
  <c r="I38" i="3"/>
  <c r="R37" i="3"/>
  <c r="O37" i="3"/>
  <c r="L37" i="3"/>
  <c r="I37" i="3"/>
  <c r="R36" i="3"/>
  <c r="O36" i="3"/>
  <c r="L36" i="3"/>
  <c r="I36" i="3"/>
  <c r="P136" i="3"/>
  <c r="O35" i="3"/>
  <c r="M136" i="3"/>
  <c r="J136" i="3"/>
  <c r="I35" i="3"/>
  <c r="G136" i="3"/>
  <c r="R34" i="3"/>
  <c r="O34" i="3"/>
  <c r="M135" i="3"/>
  <c r="J135" i="3"/>
  <c r="I34" i="3"/>
  <c r="G135" i="3"/>
  <c r="P134" i="3"/>
  <c r="O33" i="3"/>
  <c r="M134" i="3"/>
  <c r="L33" i="3"/>
  <c r="I33" i="3"/>
  <c r="G134" i="3"/>
  <c r="R32" i="3"/>
  <c r="O32" i="3"/>
  <c r="M133" i="3"/>
  <c r="J133" i="3"/>
  <c r="I32" i="3"/>
  <c r="G133" i="3"/>
  <c r="R31" i="3"/>
  <c r="O31" i="3"/>
  <c r="M132" i="3"/>
  <c r="J132" i="3"/>
  <c r="I31" i="3"/>
  <c r="G132" i="3"/>
  <c r="P131" i="3"/>
  <c r="O30" i="3"/>
  <c r="M131" i="3"/>
  <c r="L30" i="3"/>
  <c r="I30" i="3"/>
  <c r="G131" i="3"/>
  <c r="P130" i="3"/>
  <c r="O29" i="3"/>
  <c r="M130" i="3"/>
  <c r="L29" i="3"/>
  <c r="I29" i="3"/>
  <c r="G130" i="3"/>
  <c r="O28" i="3"/>
  <c r="M129" i="3"/>
  <c r="I28" i="3"/>
  <c r="G129" i="3"/>
  <c r="P128" i="3"/>
  <c r="L27" i="3"/>
  <c r="K128" i="3"/>
  <c r="J128" i="3"/>
  <c r="H128" i="3"/>
  <c r="G128" i="3"/>
  <c r="P127" i="3"/>
  <c r="L26" i="3"/>
  <c r="K127" i="3"/>
  <c r="J127" i="3"/>
  <c r="I26" i="3"/>
  <c r="H127" i="3"/>
  <c r="G127" i="3"/>
  <c r="D15" i="3"/>
  <c r="D14" i="3"/>
  <c r="D13" i="3"/>
  <c r="D12" i="3"/>
  <c r="D11" i="3"/>
  <c r="D10" i="3"/>
  <c r="D9" i="3"/>
  <c r="D8" i="3"/>
  <c r="R7" i="3"/>
  <c r="O7" i="3"/>
  <c r="L7" i="3"/>
  <c r="I7" i="3"/>
  <c r="E7" i="3"/>
  <c r="D7" i="3"/>
  <c r="R6" i="3"/>
  <c r="O6" i="3"/>
  <c r="L6" i="3"/>
  <c r="I6" i="3"/>
  <c r="E6" i="3"/>
  <c r="D6" i="3"/>
  <c r="N14" i="6"/>
  <c r="K14" i="6"/>
  <c r="E12" i="6"/>
  <c r="E11" i="6"/>
  <c r="E10" i="6"/>
  <c r="B10" i="6"/>
  <c r="E8" i="6"/>
  <c r="E6" i="6"/>
  <c r="B6" i="6"/>
  <c r="W5" i="6"/>
  <c r="W4" i="6"/>
  <c r="E4" i="6"/>
  <c r="H14" i="4"/>
  <c r="F14" i="4"/>
  <c r="E14" i="4"/>
  <c r="G13" i="4"/>
  <c r="G12" i="4"/>
  <c r="G11" i="4"/>
  <c r="G10" i="4"/>
  <c r="G9" i="4"/>
  <c r="G8" i="4"/>
  <c r="G7" i="4"/>
  <c r="G6" i="4"/>
  <c r="G5" i="4"/>
  <c r="G4" i="4"/>
  <c r="T14" i="20"/>
  <c r="H14" i="20"/>
  <c r="G14" i="20"/>
  <c r="F14" i="20"/>
  <c r="E14" i="20"/>
  <c r="D14" i="20"/>
  <c r="G12" i="20"/>
  <c r="F12" i="20"/>
  <c r="E12" i="20"/>
  <c r="D12" i="20"/>
  <c r="H11" i="20"/>
  <c r="G11" i="20"/>
  <c r="F11" i="20"/>
  <c r="E11" i="20"/>
  <c r="D11" i="20"/>
  <c r="G8" i="20"/>
  <c r="F8" i="20"/>
  <c r="E8" i="20"/>
  <c r="D8" i="20"/>
  <c r="H7" i="20"/>
  <c r="G7" i="20"/>
  <c r="F7" i="20"/>
  <c r="E7" i="20"/>
  <c r="D7" i="20"/>
  <c r="G2" i="20"/>
  <c r="F2" i="20"/>
  <c r="E2" i="20"/>
  <c r="D2" i="20"/>
  <c r="AI80" i="19" l="1"/>
  <c r="AG88" i="19"/>
  <c r="AW62" i="19"/>
  <c r="AP62" i="19"/>
  <c r="AW64" i="19"/>
  <c r="AP64" i="19"/>
  <c r="AG73" i="19"/>
  <c r="AW67" i="19"/>
  <c r="AP67" i="19"/>
  <c r="AW69" i="19"/>
  <c r="AP69" i="19"/>
  <c r="AP71" i="19"/>
  <c r="AW71" i="19"/>
  <c r="AG79" i="19"/>
  <c r="AW77" i="19"/>
  <c r="AP77" i="19"/>
  <c r="AW80" i="19"/>
  <c r="AP80" i="19"/>
  <c r="AW82" i="19"/>
  <c r="AP82" i="19"/>
  <c r="AP84" i="19"/>
  <c r="AW84" i="19"/>
  <c r="AW61" i="19"/>
  <c r="AP61" i="19"/>
  <c r="AG66" i="19"/>
  <c r="AW63" i="19"/>
  <c r="AP63" i="19"/>
  <c r="AP65" i="19"/>
  <c r="AW65" i="19"/>
  <c r="AP68" i="19"/>
  <c r="AW68" i="19"/>
  <c r="AW70" i="19"/>
  <c r="AP70" i="19"/>
  <c r="AP72" i="19"/>
  <c r="AW72" i="19"/>
  <c r="AP78" i="19"/>
  <c r="AW78" i="19"/>
  <c r="AW81" i="19"/>
  <c r="AP81" i="19"/>
  <c r="AW83" i="19"/>
  <c r="AP83" i="19"/>
  <c r="F60" i="3"/>
  <c r="F64" i="3"/>
  <c r="E3" i="17"/>
  <c r="H12" i="11"/>
  <c r="H41" i="11" s="1"/>
  <c r="F13" i="11"/>
  <c r="F42" i="11" s="1"/>
  <c r="D13" i="11"/>
  <c r="D42" i="11" s="1"/>
  <c r="L13" i="11"/>
  <c r="E30" i="27"/>
  <c r="E14" i="6"/>
  <c r="I12" i="11"/>
  <c r="I41" i="11" s="1"/>
  <c r="G12" i="11"/>
  <c r="G41" i="11" s="1"/>
  <c r="E13" i="11"/>
  <c r="E42" i="11" s="1"/>
  <c r="M13" i="11"/>
  <c r="H28" i="11"/>
  <c r="G28" i="11"/>
  <c r="H14" i="6"/>
  <c r="C25" i="11"/>
  <c r="AI73" i="26"/>
  <c r="AI118" i="26"/>
  <c r="AP119" i="26"/>
  <c r="AG119" i="26"/>
  <c r="AH119" i="26"/>
  <c r="AI87" i="26"/>
  <c r="AI88" i="26"/>
  <c r="J28" i="11"/>
  <c r="I28" i="11"/>
  <c r="L42" i="11"/>
  <c r="B7" i="6"/>
  <c r="B14" i="6" s="1"/>
  <c r="C27" i="11"/>
  <c r="M42" i="11"/>
  <c r="K28" i="11"/>
  <c r="E28" i="11"/>
  <c r="M28" i="11"/>
  <c r="D28" i="11"/>
  <c r="L28" i="11"/>
  <c r="F28" i="11"/>
  <c r="I7" i="11"/>
  <c r="I36" i="11" s="1"/>
  <c r="G14" i="11"/>
  <c r="G43" i="11" s="1"/>
  <c r="P14" i="20"/>
  <c r="G175" i="9"/>
  <c r="Q14" i="20"/>
  <c r="H175" i="9"/>
  <c r="R14" i="20"/>
  <c r="I175" i="9"/>
  <c r="D11" i="11"/>
  <c r="D40" i="11" s="1"/>
  <c r="L11" i="11"/>
  <c r="L40" i="11" s="1"/>
  <c r="S14" i="20"/>
  <c r="J175" i="9"/>
  <c r="E8" i="11"/>
  <c r="E37" i="11" s="1"/>
  <c r="M8" i="11"/>
  <c r="M37" i="11" s="1"/>
  <c r="M14" i="11"/>
  <c r="M43" i="11" s="1"/>
  <c r="P8" i="20"/>
  <c r="F86" i="10"/>
  <c r="Q8" i="20"/>
  <c r="G86" i="10"/>
  <c r="R8" i="20"/>
  <c r="H86" i="10"/>
  <c r="G7" i="11"/>
  <c r="G36" i="11" s="1"/>
  <c r="D8" i="11"/>
  <c r="D37" i="11" s="1"/>
  <c r="L8" i="11"/>
  <c r="L37" i="11" s="1"/>
  <c r="I8" i="11"/>
  <c r="I37" i="11" s="1"/>
  <c r="I14" i="11"/>
  <c r="O9" i="6" s="1"/>
  <c r="P9" i="6" s="1"/>
  <c r="H11" i="11"/>
  <c r="H40" i="11" s="1"/>
  <c r="D93" i="3"/>
  <c r="R138" i="3"/>
  <c r="E12" i="11"/>
  <c r="E41" i="11" s="1"/>
  <c r="M12" i="11"/>
  <c r="M41" i="11" s="1"/>
  <c r="K12" i="11"/>
  <c r="K41" i="11" s="1"/>
  <c r="K13" i="11"/>
  <c r="K42" i="11" s="1"/>
  <c r="I13" i="11"/>
  <c r="I42" i="11" s="1"/>
  <c r="J13" i="11"/>
  <c r="J42" i="11" s="1"/>
  <c r="F12" i="11"/>
  <c r="F41" i="11" s="1"/>
  <c r="L12" i="11"/>
  <c r="L41" i="11" s="1"/>
  <c r="J7" i="11"/>
  <c r="J36" i="11" s="1"/>
  <c r="H8" i="11"/>
  <c r="H37" i="11" s="1"/>
  <c r="H14" i="11"/>
  <c r="H43" i="11" s="1"/>
  <c r="G11" i="11"/>
  <c r="L7" i="6" s="1"/>
  <c r="M7" i="6" s="1"/>
  <c r="E7" i="11"/>
  <c r="M7" i="11"/>
  <c r="M36" i="11" s="1"/>
  <c r="J8" i="11"/>
  <c r="J37" i="11" s="1"/>
  <c r="J14" i="11"/>
  <c r="J43" i="11" s="1"/>
  <c r="I11" i="11"/>
  <c r="I40" i="11" s="1"/>
  <c r="F7" i="11"/>
  <c r="F36" i="11" s="1"/>
  <c r="L137" i="3"/>
  <c r="F61" i="3"/>
  <c r="F65" i="3"/>
  <c r="D94" i="3"/>
  <c r="I137" i="3"/>
  <c r="D88" i="3"/>
  <c r="D92" i="3"/>
  <c r="F58" i="3"/>
  <c r="F62" i="3"/>
  <c r="D89" i="3"/>
  <c r="F56" i="3"/>
  <c r="G13" i="11"/>
  <c r="G42" i="11" s="1"/>
  <c r="H13" i="11"/>
  <c r="H42" i="11" s="1"/>
  <c r="D12" i="11"/>
  <c r="D41" i="11" s="1"/>
  <c r="F14" i="11"/>
  <c r="O6" i="6" s="1"/>
  <c r="P6" i="6" s="1"/>
  <c r="E11" i="11"/>
  <c r="E40" i="11" s="1"/>
  <c r="M11" i="11"/>
  <c r="M40" i="11" s="1"/>
  <c r="K14" i="11"/>
  <c r="K43" i="11" s="1"/>
  <c r="J11" i="11"/>
  <c r="J40" i="11" s="1"/>
  <c r="L14" i="11"/>
  <c r="L43" i="11" s="1"/>
  <c r="K11" i="11"/>
  <c r="K40" i="11" s="1"/>
  <c r="K8" i="11"/>
  <c r="K37" i="11" s="1"/>
  <c r="L4" i="6"/>
  <c r="M4" i="6" s="1"/>
  <c r="O13" i="6"/>
  <c r="P13" i="6" s="1"/>
  <c r="F8" i="11"/>
  <c r="F37" i="11" s="1"/>
  <c r="G8" i="11"/>
  <c r="G37" i="11" s="1"/>
  <c r="J9" i="11"/>
  <c r="J38" i="11" s="1"/>
  <c r="K9" i="11"/>
  <c r="K38" i="11" s="1"/>
  <c r="F9" i="11"/>
  <c r="F38" i="11" s="1"/>
  <c r="L9" i="11"/>
  <c r="L38" i="11" s="1"/>
  <c r="M9" i="11"/>
  <c r="M38" i="11" s="1"/>
  <c r="G9" i="11"/>
  <c r="G38" i="11" s="1"/>
  <c r="D7" i="11"/>
  <c r="L7" i="11"/>
  <c r="F12" i="6" s="1"/>
  <c r="G12" i="6" s="1"/>
  <c r="K7" i="11"/>
  <c r="K36" i="11" s="1"/>
  <c r="I9" i="11"/>
  <c r="I38" i="11" s="1"/>
  <c r="H9" i="11"/>
  <c r="H38" i="11" s="1"/>
  <c r="AJ69" i="19"/>
  <c r="AJ77" i="19"/>
  <c r="AJ78" i="19"/>
  <c r="AJ80" i="19"/>
  <c r="AJ84" i="19"/>
  <c r="AJ82" i="19"/>
  <c r="AJ65" i="19"/>
  <c r="AJ70" i="19"/>
  <c r="AJ67" i="19"/>
  <c r="AJ63" i="19"/>
  <c r="AJ68" i="19"/>
  <c r="AJ72" i="19"/>
  <c r="AJ64" i="19"/>
  <c r="AJ61" i="19"/>
  <c r="AJ83" i="19"/>
  <c r="AJ62" i="19"/>
  <c r="AJ71" i="19"/>
  <c r="AJ81" i="19"/>
  <c r="I14" i="20"/>
  <c r="F57" i="9"/>
  <c r="L6" i="6"/>
  <c r="M6" i="6" s="1"/>
  <c r="F150" i="9"/>
  <c r="F175" i="9" s="1"/>
  <c r="R11" i="20"/>
  <c r="R7" i="20"/>
  <c r="F4" i="9"/>
  <c r="I12" i="20"/>
  <c r="U12" i="20"/>
  <c r="I7" i="20"/>
  <c r="I11" i="20"/>
  <c r="E34" i="10"/>
  <c r="E3" i="10"/>
  <c r="I8" i="20"/>
  <c r="G14" i="4"/>
  <c r="U18" i="20" s="1"/>
  <c r="F59" i="3"/>
  <c r="F63" i="3"/>
  <c r="F57" i="3"/>
  <c r="R137" i="3"/>
  <c r="D142" i="3"/>
  <c r="B9" i="4" s="1"/>
  <c r="Q9" i="4" s="1"/>
  <c r="D139" i="3"/>
  <c r="B6" i="4" s="1"/>
  <c r="Q6" i="4" s="1"/>
  <c r="I138" i="3"/>
  <c r="D140" i="3"/>
  <c r="B7" i="4" s="1"/>
  <c r="Q7" i="4" s="1"/>
  <c r="D141" i="3"/>
  <c r="B8" i="4" s="1"/>
  <c r="Q8" i="4" s="1"/>
  <c r="D143" i="3"/>
  <c r="B10" i="4" s="1"/>
  <c r="Q10" i="4" s="1"/>
  <c r="D144" i="3"/>
  <c r="B11" i="4" s="1"/>
  <c r="Q11" i="4" s="1"/>
  <c r="D145" i="3"/>
  <c r="B12" i="4" s="1"/>
  <c r="Q12" i="4" s="1"/>
  <c r="D95" i="3"/>
  <c r="F7" i="3"/>
  <c r="F6" i="3"/>
  <c r="O137" i="3"/>
  <c r="O138" i="3"/>
  <c r="D96" i="3"/>
  <c r="E137" i="3"/>
  <c r="C4" i="4" s="1"/>
  <c r="R4" i="4" s="1"/>
  <c r="D138" i="3"/>
  <c r="B5" i="4" s="1"/>
  <c r="Q5" i="4" s="1"/>
  <c r="D87" i="3"/>
  <c r="D91" i="3"/>
  <c r="E138" i="3"/>
  <c r="C5" i="4" s="1"/>
  <c r="R5" i="4" s="1"/>
  <c r="D90" i="3"/>
  <c r="D136" i="3"/>
  <c r="Q13" i="6" s="1"/>
  <c r="T13" i="6" s="1"/>
  <c r="L128" i="3"/>
  <c r="G15" i="4"/>
  <c r="I18" i="20" s="1"/>
  <c r="I127" i="3"/>
  <c r="Q127" i="3"/>
  <c r="R127" i="3" s="1"/>
  <c r="R26" i="3"/>
  <c r="J129" i="3"/>
  <c r="L28" i="3"/>
  <c r="M127" i="3"/>
  <c r="D127" i="3" s="1"/>
  <c r="Q4" i="6" s="1"/>
  <c r="Q128" i="3"/>
  <c r="R128" i="3" s="1"/>
  <c r="R27" i="3"/>
  <c r="I128" i="3"/>
  <c r="L127" i="3"/>
  <c r="I27" i="3"/>
  <c r="M128" i="3"/>
  <c r="D128" i="3" s="1"/>
  <c r="Q5" i="6" s="1"/>
  <c r="T5" i="6" s="1"/>
  <c r="R28" i="3"/>
  <c r="P129" i="3"/>
  <c r="J131" i="3"/>
  <c r="P133" i="3"/>
  <c r="D133" i="3" s="1"/>
  <c r="J130" i="3"/>
  <c r="D130" i="3" s="1"/>
  <c r="Q7" i="6" s="1"/>
  <c r="P132" i="3"/>
  <c r="J134" i="3"/>
  <c r="P135" i="3"/>
  <c r="D135" i="3" s="1"/>
  <c r="Q12" i="6" s="1"/>
  <c r="T12" i="6" s="1"/>
  <c r="R29" i="3"/>
  <c r="R30" i="3"/>
  <c r="L31" i="3"/>
  <c r="L32" i="3"/>
  <c r="R33" i="3"/>
  <c r="L34" i="3"/>
  <c r="L35" i="3"/>
  <c r="R35" i="3"/>
  <c r="D146" i="3"/>
  <c r="B13" i="4" s="1"/>
  <c r="Q13" i="4" s="1"/>
  <c r="L138" i="3"/>
  <c r="AI6" i="26"/>
  <c r="D137" i="3"/>
  <c r="B4" i="4" s="1"/>
  <c r="C23" i="11"/>
  <c r="H36" i="11"/>
  <c r="P7" i="20"/>
  <c r="T7" i="20"/>
  <c r="P11" i="20"/>
  <c r="T11" i="20"/>
  <c r="K87" i="3"/>
  <c r="N87" i="3"/>
  <c r="H87" i="3"/>
  <c r="H88" i="3"/>
  <c r="Q87" i="3"/>
  <c r="Q88" i="3"/>
  <c r="N88" i="3"/>
  <c r="K88" i="3"/>
  <c r="I26" i="9" l="1"/>
  <c r="I27" i="9"/>
  <c r="J26" i="9"/>
  <c r="H26" i="9"/>
  <c r="J27" i="9"/>
  <c r="H27" i="9"/>
  <c r="BH82" i="19"/>
  <c r="BG84" i="19"/>
  <c r="E31" i="27"/>
  <c r="O87" i="3"/>
  <c r="N117" i="3" s="1"/>
  <c r="O117" i="3" s="1"/>
  <c r="L12" i="6"/>
  <c r="M12" i="6" s="1"/>
  <c r="U14" i="20"/>
  <c r="C8" i="6"/>
  <c r="D8" i="6" s="1"/>
  <c r="O7" i="6"/>
  <c r="P7" i="6" s="1"/>
  <c r="D36" i="11"/>
  <c r="E36" i="11"/>
  <c r="F137" i="3"/>
  <c r="AI119" i="26"/>
  <c r="C28" i="11"/>
  <c r="T7" i="6"/>
  <c r="B7" i="2" s="1"/>
  <c r="F6" i="6"/>
  <c r="G6" i="6" s="1"/>
  <c r="E175" i="9"/>
  <c r="F4" i="6"/>
  <c r="G4" i="6" s="1"/>
  <c r="F8" i="6"/>
  <c r="G8" i="6" s="1"/>
  <c r="I43" i="11"/>
  <c r="C9" i="6"/>
  <c r="D9" i="6" s="1"/>
  <c r="U8" i="20"/>
  <c r="C7" i="6"/>
  <c r="D7" i="6" s="1"/>
  <c r="C5" i="6"/>
  <c r="D5" i="6" s="1"/>
  <c r="C11" i="6"/>
  <c r="D11" i="6" s="1"/>
  <c r="C42" i="11"/>
  <c r="C10" i="6"/>
  <c r="D10" i="6" s="1"/>
  <c r="E86" i="10"/>
  <c r="G40" i="11"/>
  <c r="C40" i="11" s="1"/>
  <c r="L9" i="6"/>
  <c r="M9" i="6" s="1"/>
  <c r="L8" i="6"/>
  <c r="M8" i="6" s="1"/>
  <c r="F43" i="11"/>
  <c r="F5" i="6"/>
  <c r="G5" i="6" s="1"/>
  <c r="F9" i="6"/>
  <c r="G9" i="6" s="1"/>
  <c r="C13" i="11"/>
  <c r="C41" i="11"/>
  <c r="C12" i="6"/>
  <c r="D12" i="6" s="1"/>
  <c r="C6" i="6"/>
  <c r="D6" i="6" s="1"/>
  <c r="C13" i="6"/>
  <c r="D13" i="6" s="1"/>
  <c r="O8" i="6"/>
  <c r="P8" i="6" s="1"/>
  <c r="O11" i="6"/>
  <c r="P11" i="6" s="1"/>
  <c r="O10" i="6"/>
  <c r="P10" i="6" s="1"/>
  <c r="C11" i="11"/>
  <c r="F11" i="6"/>
  <c r="G11" i="6" s="1"/>
  <c r="F13" i="6"/>
  <c r="G13" i="6" s="1"/>
  <c r="F10" i="6"/>
  <c r="G10" i="6" s="1"/>
  <c r="C37" i="11"/>
  <c r="C7" i="11"/>
  <c r="L36" i="11"/>
  <c r="L10" i="6"/>
  <c r="M10" i="6" s="1"/>
  <c r="D131" i="3"/>
  <c r="Q8" i="6" s="1"/>
  <c r="T8" i="6" s="1"/>
  <c r="B8" i="2" s="1"/>
  <c r="D4" i="4"/>
  <c r="S5" i="4"/>
  <c r="C12" i="11"/>
  <c r="C4" i="6"/>
  <c r="D4" i="6" s="1"/>
  <c r="L11" i="6"/>
  <c r="M11" i="6" s="1"/>
  <c r="L5" i="6"/>
  <c r="M5" i="6" s="1"/>
  <c r="O12" i="6"/>
  <c r="P12" i="6" s="1"/>
  <c r="L13" i="6"/>
  <c r="M13" i="6" s="1"/>
  <c r="C8" i="11"/>
  <c r="F7" i="6"/>
  <c r="G7" i="6" s="1"/>
  <c r="U11" i="20"/>
  <c r="D5" i="4"/>
  <c r="B13" i="2"/>
  <c r="D134" i="3"/>
  <c r="Q11" i="6" s="1"/>
  <c r="T11" i="6" s="1"/>
  <c r="B11" i="2" s="1"/>
  <c r="Q10" i="6"/>
  <c r="B12" i="2"/>
  <c r="B5" i="2"/>
  <c r="D129" i="3"/>
  <c r="N127" i="3"/>
  <c r="O26" i="3"/>
  <c r="D132" i="3"/>
  <c r="Q9" i="6" s="1"/>
  <c r="T9" i="6" s="1"/>
  <c r="F138" i="3"/>
  <c r="U7" i="20"/>
  <c r="B14" i="4"/>
  <c r="Q4" i="4"/>
  <c r="N128" i="3"/>
  <c r="O27" i="3"/>
  <c r="T4" i="6"/>
  <c r="L87" i="3"/>
  <c r="K117" i="3" s="1"/>
  <c r="L117" i="3" s="1"/>
  <c r="R88" i="3"/>
  <c r="Q118" i="3" s="1"/>
  <c r="R118" i="3" s="1"/>
  <c r="I87" i="3"/>
  <c r="E87" i="3"/>
  <c r="L88" i="3"/>
  <c r="K118" i="3" s="1"/>
  <c r="L118" i="3" s="1"/>
  <c r="R87" i="3"/>
  <c r="Q117" i="3" s="1"/>
  <c r="R117" i="3" s="1"/>
  <c r="O88" i="3"/>
  <c r="N118" i="3" s="1"/>
  <c r="O118" i="3" s="1"/>
  <c r="I88" i="3"/>
  <c r="E88" i="3"/>
  <c r="J25" i="9" l="1"/>
  <c r="G6" i="20"/>
  <c r="G5" i="20" s="1"/>
  <c r="J3" i="9"/>
  <c r="J172" i="9" s="1"/>
  <c r="I25" i="9"/>
  <c r="I81" i="9" s="1"/>
  <c r="I82" i="9" s="1"/>
  <c r="I83" i="9" s="1"/>
  <c r="I84" i="9" s="1"/>
  <c r="I85" i="9" s="1"/>
  <c r="I86" i="9" s="1"/>
  <c r="I87" i="9" s="1"/>
  <c r="I88" i="9" s="1"/>
  <c r="F6" i="20"/>
  <c r="F5" i="20" s="1"/>
  <c r="H25" i="9"/>
  <c r="H81" i="9" s="1"/>
  <c r="H82" i="9" s="1"/>
  <c r="H83" i="9" s="1"/>
  <c r="H84" i="9" s="1"/>
  <c r="H85" i="9" s="1"/>
  <c r="H86" i="9" s="1"/>
  <c r="H87" i="9" s="1"/>
  <c r="H88" i="9" s="1"/>
  <c r="E6" i="20"/>
  <c r="C36" i="11"/>
  <c r="M15" i="6"/>
  <c r="F14" i="6"/>
  <c r="C14" i="6"/>
  <c r="M14" i="6"/>
  <c r="L14" i="6"/>
  <c r="Q14" i="4"/>
  <c r="B4" i="2"/>
  <c r="O127" i="3"/>
  <c r="E127" i="3"/>
  <c r="O128" i="3"/>
  <c r="E128" i="3"/>
  <c r="T10" i="6"/>
  <c r="S4" i="4"/>
  <c r="B9" i="2"/>
  <c r="Q6" i="6"/>
  <c r="D15" i="6"/>
  <c r="F88" i="3"/>
  <c r="H118" i="3"/>
  <c r="G15" i="6"/>
  <c r="G14" i="6"/>
  <c r="D14" i="6"/>
  <c r="H117" i="3"/>
  <c r="F87" i="3"/>
  <c r="S6" i="20" l="1"/>
  <c r="S5" i="20" s="1"/>
  <c r="J81" i="9"/>
  <c r="J82" i="9" s="1"/>
  <c r="J83" i="9" s="1"/>
  <c r="J84" i="9" s="1"/>
  <c r="J85" i="9" s="1"/>
  <c r="J86" i="9" s="1"/>
  <c r="J87" i="9" s="1"/>
  <c r="J88" i="9" s="1"/>
  <c r="E5" i="20"/>
  <c r="R6" i="20"/>
  <c r="R5" i="20" s="1"/>
  <c r="I3" i="9"/>
  <c r="I172" i="9" s="1"/>
  <c r="Q6" i="20"/>
  <c r="H3" i="9"/>
  <c r="H172" i="9" s="1"/>
  <c r="B10" i="2"/>
  <c r="T6" i="6"/>
  <c r="Q14" i="6"/>
  <c r="F128" i="3"/>
  <c r="R5" i="6"/>
  <c r="F127" i="3"/>
  <c r="R4" i="6"/>
  <c r="E118" i="3"/>
  <c r="I5" i="4" s="1"/>
  <c r="I118" i="3"/>
  <c r="F118" i="3" s="1"/>
  <c r="I117" i="3"/>
  <c r="E117" i="3"/>
  <c r="I4" i="4" s="1"/>
  <c r="Q5" i="20" l="1"/>
  <c r="S4" i="6"/>
  <c r="B6" i="2"/>
  <c r="T14" i="6"/>
  <c r="S5" i="6"/>
  <c r="J4" i="4"/>
  <c r="F117" i="3"/>
  <c r="J5" i="4"/>
  <c r="B14" i="2" l="1"/>
  <c r="AH92" i="33" l="1"/>
  <c r="AG14" i="24" l="1"/>
  <c r="AG92" i="33"/>
  <c r="AF14" i="24" s="1"/>
  <c r="AI92" i="33"/>
  <c r="AH14" i="24" l="1"/>
  <c r="AF190" i="33"/>
  <c r="AI190" i="33"/>
  <c r="AH21" i="24" s="1"/>
  <c r="AH190" i="33"/>
  <c r="AG190" i="33"/>
  <c r="AF21" i="24" s="1"/>
  <c r="AG436" i="33"/>
  <c r="AF46" i="24" s="1"/>
  <c r="AI436" i="33"/>
  <c r="AH46" i="24" s="1"/>
  <c r="AH436" i="33"/>
  <c r="AG46" i="24" s="1"/>
  <c r="AF436" i="33"/>
  <c r="AE46" i="24" s="1"/>
  <c r="AE21" i="24" l="1"/>
  <c r="AG21" i="24"/>
  <c r="AH91" i="33"/>
  <c r="AI91" i="33"/>
  <c r="D44" i="24"/>
  <c r="AC44" i="24"/>
  <c r="T44" i="24"/>
  <c r="Z44" i="24"/>
  <c r="Y44" i="24"/>
  <c r="Q44" i="24"/>
  <c r="AB44" i="24"/>
  <c r="R44" i="24"/>
  <c r="U44" i="24"/>
  <c r="P44" i="24"/>
  <c r="E44" i="24"/>
  <c r="W44" i="24"/>
  <c r="AA44" i="24"/>
  <c r="M44" i="24"/>
  <c r="F44" i="24"/>
  <c r="X44" i="24"/>
  <c r="G44" i="24"/>
  <c r="V44" i="24"/>
  <c r="S44" i="24"/>
  <c r="AG91" i="33"/>
  <c r="AF13" i="24"/>
  <c r="AF91" i="33"/>
  <c r="AE13" i="24"/>
  <c r="E421" i="33"/>
  <c r="R421" i="33"/>
  <c r="X421" i="33"/>
  <c r="S421" i="33"/>
  <c r="AA421" i="33"/>
  <c r="G421" i="33"/>
  <c r="Q421" i="33"/>
  <c r="V421" i="33"/>
  <c r="P421" i="33"/>
  <c r="D421" i="33"/>
  <c r="F421" i="33"/>
  <c r="U421" i="33"/>
  <c r="W421" i="33"/>
  <c r="Y421" i="33"/>
  <c r="AB421" i="33"/>
  <c r="Z421" i="33"/>
  <c r="M421" i="33"/>
  <c r="T421" i="33"/>
  <c r="AC421" i="33"/>
  <c r="AC13" i="24" l="1"/>
  <c r="L13" i="24"/>
  <c r="X13" i="24"/>
  <c r="AA13" i="24"/>
  <c r="U13" i="24"/>
  <c r="Y13" i="24"/>
  <c r="S13" i="24"/>
  <c r="W13" i="24"/>
  <c r="Z13" i="24"/>
  <c r="F13" i="24"/>
  <c r="M13" i="24"/>
  <c r="P13" i="24"/>
  <c r="T13" i="24"/>
  <c r="E13" i="24"/>
  <c r="V13" i="24"/>
  <c r="AB13" i="24"/>
  <c r="Q13" i="24"/>
  <c r="G13" i="24"/>
  <c r="D13" i="24"/>
  <c r="R13" i="24"/>
  <c r="N13" i="24"/>
  <c r="V91" i="33"/>
  <c r="AB91" i="33"/>
  <c r="Q91" i="33"/>
  <c r="AC91" i="33"/>
  <c r="W91" i="33"/>
  <c r="Y91" i="33"/>
  <c r="L91" i="33"/>
  <c r="D91" i="33"/>
  <c r="AA91" i="33"/>
  <c r="G91" i="33"/>
  <c r="N91" i="33"/>
  <c r="X91" i="33"/>
  <c r="M91" i="33"/>
  <c r="F91" i="33"/>
  <c r="R91" i="33"/>
  <c r="E91" i="33"/>
  <c r="S91" i="33"/>
  <c r="Z91" i="33"/>
  <c r="U91" i="33"/>
  <c r="P91" i="33"/>
  <c r="T91" i="33"/>
  <c r="BD80" i="19" l="1"/>
  <c r="BD83" i="19" l="1"/>
  <c r="BD77" i="19"/>
  <c r="BD81" i="19"/>
  <c r="BD79" i="19"/>
  <c r="BD76" i="19"/>
  <c r="BD82" i="19"/>
  <c r="BD78" i="19"/>
  <c r="BD84" i="19"/>
  <c r="AV33" i="19" l="1"/>
  <c r="AX33" i="19" s="1"/>
  <c r="AO33" i="19"/>
  <c r="AQ33" i="19" s="1"/>
  <c r="AG33" i="19"/>
  <c r="AJ33" i="19"/>
  <c r="AO37" i="19"/>
  <c r="AQ37" i="19" s="1"/>
  <c r="AV37" i="19"/>
  <c r="AX37" i="19" s="1"/>
  <c r="AG37" i="19"/>
  <c r="AJ37" i="19"/>
  <c r="AV35" i="19"/>
  <c r="AX35" i="19" s="1"/>
  <c r="AO35" i="19"/>
  <c r="AQ35" i="19" s="1"/>
  <c r="AG35" i="19"/>
  <c r="AJ35" i="19"/>
  <c r="AV36" i="19"/>
  <c r="AX36" i="19" s="1"/>
  <c r="AO36" i="19"/>
  <c r="AQ36" i="19" s="1"/>
  <c r="AG36" i="19"/>
  <c r="AJ36" i="19"/>
  <c r="AV38" i="19"/>
  <c r="AX38" i="19" s="1"/>
  <c r="AO38" i="19"/>
  <c r="AQ38" i="19" s="1"/>
  <c r="AG38" i="19"/>
  <c r="AJ38" i="19"/>
  <c r="AO34" i="19"/>
  <c r="AQ34" i="19" s="1"/>
  <c r="AV34" i="19"/>
  <c r="AX34" i="19" s="1"/>
  <c r="AG34" i="19"/>
  <c r="AJ34" i="19"/>
  <c r="AV58" i="19" l="1"/>
  <c r="AX58" i="19" s="1"/>
  <c r="AO58" i="19"/>
  <c r="AQ58" i="19" s="1"/>
  <c r="AJ58" i="19"/>
  <c r="AG58" i="19"/>
  <c r="AO59" i="19"/>
  <c r="AQ59" i="19" s="1"/>
  <c r="AV59" i="19"/>
  <c r="AX59" i="19" s="1"/>
  <c r="AG59" i="19"/>
  <c r="AJ59" i="19"/>
  <c r="AO9" i="19"/>
  <c r="AQ9" i="19" s="1"/>
  <c r="AV9" i="19"/>
  <c r="AX9" i="19" s="1"/>
  <c r="AJ9" i="19"/>
  <c r="AG9" i="19"/>
  <c r="AV15" i="19"/>
  <c r="AX15" i="19" s="1"/>
  <c r="AO15" i="19"/>
  <c r="AQ15" i="19" s="1"/>
  <c r="AG15" i="19"/>
  <c r="AJ15" i="19"/>
  <c r="AV13" i="19"/>
  <c r="AX13" i="19" s="1"/>
  <c r="AO13" i="19"/>
  <c r="AQ13" i="19" s="1"/>
  <c r="AG13" i="19"/>
  <c r="AJ13" i="19"/>
  <c r="AO52" i="19"/>
  <c r="AQ52" i="19" s="1"/>
  <c r="AV52" i="19"/>
  <c r="AX52" i="19" s="1"/>
  <c r="AJ52" i="19"/>
  <c r="AG52" i="19"/>
  <c r="AV44" i="19"/>
  <c r="AX44" i="19" s="1"/>
  <c r="AJ44" i="19"/>
  <c r="AG44" i="19"/>
  <c r="AO44" i="19"/>
  <c r="AQ44" i="19" s="1"/>
  <c r="AO45" i="19"/>
  <c r="AQ45" i="19" s="1"/>
  <c r="AV45" i="19"/>
  <c r="AX45" i="19" s="1"/>
  <c r="AG45" i="19"/>
  <c r="AJ45" i="19"/>
  <c r="AV23" i="19"/>
  <c r="AX23" i="19" s="1"/>
  <c r="AO23" i="19"/>
  <c r="AQ23" i="19" s="1"/>
  <c r="AG23" i="19"/>
  <c r="AJ23" i="19"/>
  <c r="AG30" i="19"/>
  <c r="AO30" i="19"/>
  <c r="AQ30" i="19" s="1"/>
  <c r="AV30" i="19"/>
  <c r="AX30" i="19" s="1"/>
  <c r="AJ30" i="19"/>
  <c r="AG31" i="19"/>
  <c r="AO31" i="19"/>
  <c r="AQ31" i="19" s="1"/>
  <c r="AV31" i="19"/>
  <c r="AX31" i="19" s="1"/>
  <c r="AJ31" i="19"/>
  <c r="AI34" i="19"/>
  <c r="AP34" i="19"/>
  <c r="AW34" i="19"/>
  <c r="AV57" i="19"/>
  <c r="AX57" i="19" s="1"/>
  <c r="AO57" i="19"/>
  <c r="AQ57" i="19" s="1"/>
  <c r="AJ57" i="19"/>
  <c r="AG57" i="19"/>
  <c r="AO55" i="19"/>
  <c r="AQ55" i="19" s="1"/>
  <c r="AV55" i="19"/>
  <c r="AX55" i="19" s="1"/>
  <c r="AG55" i="19"/>
  <c r="AJ55" i="19"/>
  <c r="AV8" i="19"/>
  <c r="AX8" i="19" s="1"/>
  <c r="AO8" i="19"/>
  <c r="AQ8" i="19" s="1"/>
  <c r="AJ8" i="19"/>
  <c r="AG8" i="19"/>
  <c r="AP38" i="19"/>
  <c r="AW38" i="19"/>
  <c r="AI38" i="19"/>
  <c r="AO12" i="19"/>
  <c r="AQ12" i="19" s="1"/>
  <c r="AV12" i="19"/>
  <c r="AX12" i="19" s="1"/>
  <c r="AG12" i="19"/>
  <c r="AJ12" i="19"/>
  <c r="AV16" i="19"/>
  <c r="AX16" i="19" s="1"/>
  <c r="AO16" i="19"/>
  <c r="AQ16" i="19" s="1"/>
  <c r="AG16" i="19"/>
  <c r="AJ16" i="19"/>
  <c r="AV48" i="19"/>
  <c r="AX48" i="19" s="1"/>
  <c r="AO48" i="19"/>
  <c r="AQ48" i="19" s="1"/>
  <c r="AJ48" i="19"/>
  <c r="AG48" i="19"/>
  <c r="AP36" i="19"/>
  <c r="AI36" i="19"/>
  <c r="AW36" i="19"/>
  <c r="AW35" i="19"/>
  <c r="AP35" i="19"/>
  <c r="AI35" i="19"/>
  <c r="AO43" i="19"/>
  <c r="AQ43" i="19" s="1"/>
  <c r="AV43" i="19"/>
  <c r="AX43" i="19" s="1"/>
  <c r="AJ43" i="19"/>
  <c r="AG43" i="19"/>
  <c r="AO41" i="19"/>
  <c r="AQ41" i="19" s="1"/>
  <c r="AV41" i="19"/>
  <c r="AX41" i="19" s="1"/>
  <c r="AJ41" i="19"/>
  <c r="AG41" i="19"/>
  <c r="AO22" i="19"/>
  <c r="AQ22" i="19" s="1"/>
  <c r="AV22" i="19"/>
  <c r="AX22" i="19" s="1"/>
  <c r="AG22" i="19"/>
  <c r="AJ22" i="19"/>
  <c r="AP37" i="19"/>
  <c r="AW37" i="19"/>
  <c r="AI37" i="19"/>
  <c r="AI33" i="19"/>
  <c r="AP33" i="19"/>
  <c r="AW33" i="19"/>
  <c r="AG29" i="19"/>
  <c r="AO29" i="19"/>
  <c r="AQ29" i="19" s="1"/>
  <c r="AV29" i="19"/>
  <c r="AX29" i="19" s="1"/>
  <c r="AJ29" i="19"/>
  <c r="AG27" i="19"/>
  <c r="AO27" i="19"/>
  <c r="AQ27" i="19" s="1"/>
  <c r="AV27" i="19"/>
  <c r="AX27" i="19" s="1"/>
  <c r="AJ27" i="19"/>
  <c r="AG54" i="19"/>
  <c r="AV54" i="19"/>
  <c r="AX54" i="19" s="1"/>
  <c r="AJ54" i="19"/>
  <c r="AO54" i="19"/>
  <c r="AQ54" i="19" s="1"/>
  <c r="AO10" i="19"/>
  <c r="AQ10" i="19" s="1"/>
  <c r="AV10" i="19"/>
  <c r="AX10" i="19" s="1"/>
  <c r="AG10" i="19"/>
  <c r="AJ10" i="19"/>
  <c r="AO5" i="19"/>
  <c r="AQ5" i="19" s="1"/>
  <c r="AV5" i="19"/>
  <c r="AX5" i="19" s="1"/>
  <c r="AJ5" i="19"/>
  <c r="AG5" i="19"/>
  <c r="AV14" i="19"/>
  <c r="AX14" i="19" s="1"/>
  <c r="AO14" i="19"/>
  <c r="AQ14" i="19" s="1"/>
  <c r="AG14" i="19"/>
  <c r="AJ14" i="19"/>
  <c r="AV47" i="19"/>
  <c r="AX47" i="19" s="1"/>
  <c r="AJ47" i="19"/>
  <c r="AG47" i="19"/>
  <c r="AO47" i="19"/>
  <c r="AQ47" i="19" s="1"/>
  <c r="AO51" i="19"/>
  <c r="AQ51" i="19" s="1"/>
  <c r="AV51" i="19"/>
  <c r="AX51" i="19" s="1"/>
  <c r="AJ51" i="19"/>
  <c r="AG51" i="19"/>
  <c r="AV40" i="19"/>
  <c r="AX40" i="19" s="1"/>
  <c r="AO40" i="19"/>
  <c r="AQ40" i="19" s="1"/>
  <c r="AJ40" i="19"/>
  <c r="AG40" i="19"/>
  <c r="AO24" i="19"/>
  <c r="AQ24" i="19" s="1"/>
  <c r="AV24" i="19"/>
  <c r="AX24" i="19" s="1"/>
  <c r="AG24" i="19"/>
  <c r="AJ24" i="19"/>
  <c r="AV19" i="19"/>
  <c r="AX19" i="19" s="1"/>
  <c r="AO19" i="19"/>
  <c r="AQ19" i="19" s="1"/>
  <c r="AG19" i="19"/>
  <c r="AJ19" i="19"/>
  <c r="AG26" i="19"/>
  <c r="AO26" i="19"/>
  <c r="AQ26" i="19" s="1"/>
  <c r="AV26" i="19"/>
  <c r="AX26" i="19" s="1"/>
  <c r="AJ26" i="19"/>
  <c r="AV56" i="19"/>
  <c r="AX56" i="19" s="1"/>
  <c r="AO56" i="19"/>
  <c r="AQ56" i="19" s="1"/>
  <c r="AG56" i="19"/>
  <c r="AJ56" i="19"/>
  <c r="AO6" i="19"/>
  <c r="AQ6" i="19" s="1"/>
  <c r="AV6" i="19"/>
  <c r="AX6" i="19" s="1"/>
  <c r="AJ6" i="19"/>
  <c r="AG6" i="19"/>
  <c r="AO7" i="19"/>
  <c r="AQ7" i="19" s="1"/>
  <c r="AV7" i="19"/>
  <c r="AX7" i="19" s="1"/>
  <c r="AG7" i="19"/>
  <c r="AJ7" i="19"/>
  <c r="AV17" i="19"/>
  <c r="AX17" i="19" s="1"/>
  <c r="AO17" i="19"/>
  <c r="AQ17" i="19" s="1"/>
  <c r="AG17" i="19"/>
  <c r="AJ17" i="19"/>
  <c r="AG49" i="19"/>
  <c r="AO49" i="19"/>
  <c r="AQ49" i="19" s="1"/>
  <c r="AJ49" i="19"/>
  <c r="AV49" i="19"/>
  <c r="AX49" i="19" s="1"/>
  <c r="AV50" i="19"/>
  <c r="AX50" i="19" s="1"/>
  <c r="AO50" i="19"/>
  <c r="AQ50" i="19" s="1"/>
  <c r="AJ50" i="19"/>
  <c r="AG50" i="19"/>
  <c r="AO42" i="19"/>
  <c r="AQ42" i="19" s="1"/>
  <c r="AV42" i="19"/>
  <c r="AX42" i="19" s="1"/>
  <c r="AG42" i="19"/>
  <c r="AJ42" i="19"/>
  <c r="AO20" i="19"/>
  <c r="AQ20" i="19" s="1"/>
  <c r="AV20" i="19"/>
  <c r="AX20" i="19" s="1"/>
  <c r="AG20" i="19"/>
  <c r="AJ20" i="19"/>
  <c r="AV21" i="19"/>
  <c r="AX21" i="19" s="1"/>
  <c r="AO21" i="19"/>
  <c r="AQ21" i="19" s="1"/>
  <c r="AG21" i="19"/>
  <c r="AJ21" i="19"/>
  <c r="AG28" i="19"/>
  <c r="AO28" i="19"/>
  <c r="AQ28" i="19" s="1"/>
  <c r="AV28" i="19"/>
  <c r="AX28" i="19" s="1"/>
  <c r="AJ28" i="19"/>
  <c r="G26" i="9" l="1"/>
  <c r="G27" i="9"/>
  <c r="F27" i="9" s="1"/>
  <c r="AW50" i="19"/>
  <c r="AI50" i="19"/>
  <c r="AP50" i="19"/>
  <c r="AP6" i="19"/>
  <c r="AI6" i="19"/>
  <c r="AW6" i="19"/>
  <c r="AW40" i="19"/>
  <c r="AI40" i="19"/>
  <c r="AP40" i="19"/>
  <c r="AP51" i="19"/>
  <c r="AI51" i="19"/>
  <c r="AW51" i="19"/>
  <c r="AG60" i="19"/>
  <c r="AP5" i="19"/>
  <c r="AW5" i="19"/>
  <c r="AI5" i="19"/>
  <c r="AW48" i="19"/>
  <c r="AP48" i="19"/>
  <c r="AI48" i="19"/>
  <c r="AW55" i="19"/>
  <c r="AI55" i="19"/>
  <c r="AP55" i="19"/>
  <c r="AI59" i="19"/>
  <c r="AP59" i="19"/>
  <c r="AW59" i="19"/>
  <c r="AI21" i="19"/>
  <c r="AW21" i="19"/>
  <c r="AP21" i="19"/>
  <c r="AW20" i="19"/>
  <c r="AI20" i="19"/>
  <c r="AP20" i="19"/>
  <c r="AW42" i="19"/>
  <c r="AP42" i="19"/>
  <c r="AI42" i="19"/>
  <c r="AP17" i="19"/>
  <c r="AW17" i="19"/>
  <c r="AI17" i="19"/>
  <c r="AP7" i="19"/>
  <c r="AW7" i="19"/>
  <c r="AI7" i="19"/>
  <c r="AW56" i="19"/>
  <c r="AP56" i="19"/>
  <c r="AI56" i="19"/>
  <c r="AP19" i="19"/>
  <c r="AI19" i="19"/>
  <c r="AW19" i="19"/>
  <c r="AI24" i="19"/>
  <c r="AW24" i="19"/>
  <c r="AP24" i="19"/>
  <c r="AP47" i="19"/>
  <c r="AW47" i="19"/>
  <c r="AI47" i="19"/>
  <c r="AW14" i="19"/>
  <c r="AP14" i="19"/>
  <c r="AI14" i="19"/>
  <c r="AI10" i="19"/>
  <c r="AP10" i="19"/>
  <c r="AW10" i="19"/>
  <c r="AP16" i="19"/>
  <c r="AI16" i="19"/>
  <c r="AW16" i="19"/>
  <c r="AW12" i="19"/>
  <c r="AI12" i="19"/>
  <c r="AP12" i="19"/>
  <c r="AP31" i="19"/>
  <c r="AI31" i="19"/>
  <c r="AW31" i="19"/>
  <c r="AW30" i="19"/>
  <c r="AI30" i="19"/>
  <c r="AP30" i="19"/>
  <c r="AW23" i="19"/>
  <c r="AP23" i="19"/>
  <c r="AI23" i="19"/>
  <c r="AW45" i="19"/>
  <c r="AI45" i="19"/>
  <c r="AP45" i="19"/>
  <c r="AP44" i="19"/>
  <c r="AI44" i="19"/>
  <c r="AW44" i="19"/>
  <c r="AW41" i="19"/>
  <c r="AP41" i="19"/>
  <c r="AI41" i="19"/>
  <c r="AW43" i="19"/>
  <c r="AI43" i="19"/>
  <c r="AP43" i="19"/>
  <c r="AI52" i="19"/>
  <c r="AP52" i="19"/>
  <c r="AW52" i="19"/>
  <c r="K25" i="9"/>
  <c r="K81" i="9" s="1"/>
  <c r="K82" i="9" s="1"/>
  <c r="K83" i="9" s="1"/>
  <c r="K84" i="9" s="1"/>
  <c r="K85" i="9" s="1"/>
  <c r="K86" i="9" s="1"/>
  <c r="K87" i="9" s="1"/>
  <c r="K88" i="9" s="1"/>
  <c r="H6" i="20"/>
  <c r="H5" i="20" s="1"/>
  <c r="AP28" i="19"/>
  <c r="AI28" i="19"/>
  <c r="AW28" i="19"/>
  <c r="AW49" i="19"/>
  <c r="AP49" i="19"/>
  <c r="AI49" i="19"/>
  <c r="AW26" i="19"/>
  <c r="AI26" i="19"/>
  <c r="AP26" i="19"/>
  <c r="AP54" i="19"/>
  <c r="AI54" i="19"/>
  <c r="AW54" i="19"/>
  <c r="AW27" i="19"/>
  <c r="AI27" i="19"/>
  <c r="AP27" i="19"/>
  <c r="AI29" i="19"/>
  <c r="AP29" i="19"/>
  <c r="AW29" i="19"/>
  <c r="AP22" i="19"/>
  <c r="AW22" i="19"/>
  <c r="AI22" i="19"/>
  <c r="AW8" i="19"/>
  <c r="AP8" i="19"/>
  <c r="AI8" i="19"/>
  <c r="AW57" i="19"/>
  <c r="AI57" i="19"/>
  <c r="AP57" i="19"/>
  <c r="AW13" i="19"/>
  <c r="AI13" i="19"/>
  <c r="AP13" i="19"/>
  <c r="AP15" i="19"/>
  <c r="AW15" i="19"/>
  <c r="AI15" i="19"/>
  <c r="AI9" i="19"/>
  <c r="AP9" i="19"/>
  <c r="AW9" i="19"/>
  <c r="AP58" i="19"/>
  <c r="AW58" i="19"/>
  <c r="AI58" i="19"/>
  <c r="G25" i="9" l="1"/>
  <c r="G81" i="9" s="1"/>
  <c r="D6" i="20"/>
  <c r="F26" i="9"/>
  <c r="E9" i="11"/>
  <c r="K3" i="9"/>
  <c r="K172" i="9" s="1"/>
  <c r="T6" i="20"/>
  <c r="T5" i="20" s="1"/>
  <c r="G82" i="9" l="1"/>
  <c r="F81" i="9"/>
  <c r="F25" i="9"/>
  <c r="F3" i="9" s="1"/>
  <c r="F172" i="9" s="1"/>
  <c r="D5" i="20"/>
  <c r="I6" i="20"/>
  <c r="P6" i="20"/>
  <c r="G3" i="9"/>
  <c r="E38" i="11"/>
  <c r="D9" i="11"/>
  <c r="G83" i="9" l="1"/>
  <c r="F82" i="9"/>
  <c r="C9" i="11"/>
  <c r="D38" i="11"/>
  <c r="C38" i="11" s="1"/>
  <c r="G172" i="9"/>
  <c r="I5" i="20"/>
  <c r="P5" i="20"/>
  <c r="U6" i="20"/>
  <c r="J109" i="9"/>
  <c r="I109" i="9"/>
  <c r="H109" i="9"/>
  <c r="K109" i="9"/>
  <c r="G84" i="9" l="1"/>
  <c r="F83" i="9"/>
  <c r="H110" i="9"/>
  <c r="H111" i="9" s="1"/>
  <c r="H112" i="9" s="1"/>
  <c r="H113" i="9" s="1"/>
  <c r="H114" i="9" s="1"/>
  <c r="H115" i="9" s="1"/>
  <c r="H116" i="9" s="1"/>
  <c r="H117" i="9" s="1"/>
  <c r="H118" i="9" s="1"/>
  <c r="U5" i="20"/>
  <c r="E172" i="9"/>
  <c r="G109" i="9"/>
  <c r="I110" i="9"/>
  <c r="I111" i="9" s="1"/>
  <c r="I112" i="9" s="1"/>
  <c r="I113" i="9" s="1"/>
  <c r="I114" i="9" s="1"/>
  <c r="I115" i="9" s="1"/>
  <c r="I116" i="9" s="1"/>
  <c r="I117" i="9" s="1"/>
  <c r="I118" i="9" s="1"/>
  <c r="F10" i="20"/>
  <c r="F9" i="20" s="1"/>
  <c r="J110" i="9"/>
  <c r="J111" i="9" s="1"/>
  <c r="J112" i="9" s="1"/>
  <c r="J113" i="9" s="1"/>
  <c r="J114" i="9" s="1"/>
  <c r="J115" i="9" s="1"/>
  <c r="J116" i="9" s="1"/>
  <c r="J117" i="9" s="1"/>
  <c r="J118" i="9" s="1"/>
  <c r="K110" i="9"/>
  <c r="K111" i="9" s="1"/>
  <c r="K112" i="9" s="1"/>
  <c r="K113" i="9" s="1"/>
  <c r="K114" i="9" s="1"/>
  <c r="K115" i="9" s="1"/>
  <c r="K116" i="9" s="1"/>
  <c r="K117" i="9" s="1"/>
  <c r="K118" i="9" s="1"/>
  <c r="G85" i="9" l="1"/>
  <c r="F84" i="9"/>
  <c r="H78" i="9"/>
  <c r="H56" i="9" s="1"/>
  <c r="G10" i="20"/>
  <c r="G9" i="20" s="1"/>
  <c r="H10" i="20"/>
  <c r="H9" i="20" s="1"/>
  <c r="K78" i="9"/>
  <c r="T10" i="20" s="1"/>
  <c r="T9" i="20" s="1"/>
  <c r="J78" i="9"/>
  <c r="S10" i="20" s="1"/>
  <c r="S9" i="20" s="1"/>
  <c r="I78" i="9"/>
  <c r="G112" i="9"/>
  <c r="F112" i="9" s="1"/>
  <c r="G10" i="11" s="1"/>
  <c r="G111" i="9"/>
  <c r="F111" i="9" s="1"/>
  <c r="F10" i="11" s="1"/>
  <c r="G115" i="9"/>
  <c r="F115" i="9" s="1"/>
  <c r="G113" i="9"/>
  <c r="F113" i="9" s="1"/>
  <c r="H10" i="11" s="1"/>
  <c r="G118" i="9"/>
  <c r="F118" i="9" s="1"/>
  <c r="G117" i="9"/>
  <c r="F117" i="9" s="1"/>
  <c r="F109" i="9"/>
  <c r="G116" i="9"/>
  <c r="F116" i="9" s="1"/>
  <c r="G110" i="9"/>
  <c r="F110" i="9" s="1"/>
  <c r="E10" i="11" s="1"/>
  <c r="G114" i="9"/>
  <c r="F114" i="9" s="1"/>
  <c r="I10" i="11" s="1"/>
  <c r="E10" i="20"/>
  <c r="E9" i="20" s="1"/>
  <c r="G86" i="9" l="1"/>
  <c r="F85" i="9"/>
  <c r="J10" i="11" s="1"/>
  <c r="J56" i="9"/>
  <c r="J173" i="9" s="1"/>
  <c r="Q10" i="20"/>
  <c r="Q9" i="20" s="1"/>
  <c r="K56" i="9"/>
  <c r="K173" i="9" s="1"/>
  <c r="R10" i="20"/>
  <c r="R9" i="20" s="1"/>
  <c r="I56" i="9"/>
  <c r="D10" i="11"/>
  <c r="I8" i="6"/>
  <c r="H39" i="11"/>
  <c r="H44" i="11" s="1"/>
  <c r="H15" i="11"/>
  <c r="I39" i="11"/>
  <c r="I44" i="11" s="1"/>
  <c r="I15" i="11"/>
  <c r="I9" i="6"/>
  <c r="F15" i="11"/>
  <c r="F39" i="11"/>
  <c r="F44" i="11" s="1"/>
  <c r="I6" i="6"/>
  <c r="H173" i="9"/>
  <c r="E39" i="11"/>
  <c r="E44" i="11" s="1"/>
  <c r="I5" i="6"/>
  <c r="J5" i="6" s="1"/>
  <c r="G15" i="11"/>
  <c r="I7" i="6"/>
  <c r="G39" i="11"/>
  <c r="G44" i="11" s="1"/>
  <c r="J15" i="11" l="1"/>
  <c r="J39" i="11"/>
  <c r="J44" i="11" s="1"/>
  <c r="I10" i="6"/>
  <c r="G87" i="9"/>
  <c r="F86" i="9"/>
  <c r="J7" i="6"/>
  <c r="J6" i="6"/>
  <c r="D39" i="11"/>
  <c r="I4" i="6"/>
  <c r="J9" i="6"/>
  <c r="I173" i="9"/>
  <c r="J8" i="6"/>
  <c r="J10" i="6" l="1"/>
  <c r="K10" i="11"/>
  <c r="G88" i="9"/>
  <c r="F88" i="9" s="1"/>
  <c r="M10" i="11" s="1"/>
  <c r="F87" i="9"/>
  <c r="L10" i="11" s="1"/>
  <c r="D10" i="20"/>
  <c r="G78" i="9"/>
  <c r="J4" i="6"/>
  <c r="F78" i="9" l="1"/>
  <c r="F56" i="9" s="1"/>
  <c r="F173" i="9" s="1"/>
  <c r="I140" i="9" s="1"/>
  <c r="P10" i="20"/>
  <c r="G56" i="9"/>
  <c r="G173" i="9" s="1"/>
  <c r="L15" i="11"/>
  <c r="I12" i="6"/>
  <c r="L39" i="11"/>
  <c r="L44" i="11" s="1"/>
  <c r="I11" i="6"/>
  <c r="K39" i="11"/>
  <c r="K15" i="11"/>
  <c r="C10" i="11"/>
  <c r="I10" i="20"/>
  <c r="D9" i="20"/>
  <c r="I9" i="20" s="1"/>
  <c r="J140" i="9"/>
  <c r="K140" i="9"/>
  <c r="H141" i="9"/>
  <c r="H140" i="9"/>
  <c r="K141" i="9"/>
  <c r="J141" i="9"/>
  <c r="I13" i="6"/>
  <c r="M39" i="11"/>
  <c r="M44" i="11" s="1"/>
  <c r="M15" i="11"/>
  <c r="I141" i="9"/>
  <c r="E173" i="9"/>
  <c r="J12" i="6" l="1"/>
  <c r="K44" i="11"/>
  <c r="C39" i="11"/>
  <c r="J11" i="6"/>
  <c r="I14" i="6"/>
  <c r="G141" i="9"/>
  <c r="F141" i="9" s="1"/>
  <c r="G140" i="9"/>
  <c r="F140" i="9" s="1"/>
  <c r="AF89" i="19" s="1"/>
  <c r="J13" i="6"/>
  <c r="P9" i="20"/>
  <c r="U9" i="20" s="1"/>
  <c r="U10" i="20"/>
  <c r="J15" i="6" l="1"/>
  <c r="J14" i="6"/>
  <c r="AJ89" i="19"/>
  <c r="AJ92" i="19" s="1"/>
  <c r="AV89" i="19"/>
  <c r="AX89" i="19" s="1"/>
  <c r="G131" i="9" s="1"/>
  <c r="AG89" i="19"/>
  <c r="AO89" i="19"/>
  <c r="AQ89" i="19" s="1"/>
  <c r="G130" i="9" s="1"/>
  <c r="H130" i="9" l="1"/>
  <c r="J130" i="9"/>
  <c r="AW89" i="19"/>
  <c r="AW90" i="19" s="1"/>
  <c r="AI89" i="19"/>
  <c r="AI90" i="19" s="1"/>
  <c r="AP89" i="19"/>
  <c r="AP90" i="19" s="1"/>
  <c r="AX92" i="19"/>
  <c r="J131" i="9"/>
  <c r="J129" i="9" s="1"/>
  <c r="I131" i="9"/>
  <c r="K131" i="9"/>
  <c r="H131" i="9"/>
  <c r="E13" i="20" s="1"/>
  <c r="AX90" i="19"/>
  <c r="G129" i="9"/>
  <c r="D13" i="20"/>
  <c r="AQ92" i="19"/>
  <c r="K130" i="9"/>
  <c r="AQ90" i="19"/>
  <c r="AQ93" i="19" s="1"/>
  <c r="AQ94" i="19" s="1"/>
  <c r="I130" i="9"/>
  <c r="AJ90" i="19"/>
  <c r="H129" i="9" l="1"/>
  <c r="AX93" i="19"/>
  <c r="AX94" i="19" s="1"/>
  <c r="Q13" i="20"/>
  <c r="H174" i="9"/>
  <c r="H176" i="9" s="1"/>
  <c r="H177" i="9"/>
  <c r="J174" i="9"/>
  <c r="J176" i="9" s="1"/>
  <c r="S13" i="20"/>
  <c r="J177" i="9"/>
  <c r="AK77" i="19"/>
  <c r="AK54" i="19"/>
  <c r="AK55" i="19"/>
  <c r="AK66" i="19"/>
  <c r="AK86" i="19"/>
  <c r="AK29" i="19"/>
  <c r="AK42" i="19"/>
  <c r="AK68" i="19"/>
  <c r="AK79" i="19"/>
  <c r="AK85" i="19"/>
  <c r="AK82" i="19"/>
  <c r="AK76" i="19"/>
  <c r="AK58" i="19"/>
  <c r="AK12" i="19"/>
  <c r="AK13" i="19"/>
  <c r="AK69" i="19"/>
  <c r="AJ96" i="19"/>
  <c r="AK26" i="19"/>
  <c r="AK19" i="19"/>
  <c r="AK36" i="19"/>
  <c r="AK64" i="19"/>
  <c r="AK23" i="19"/>
  <c r="AK87" i="19"/>
  <c r="AK81" i="19"/>
  <c r="AK52" i="19"/>
  <c r="AK41" i="19"/>
  <c r="AK31" i="19"/>
  <c r="AK33" i="19"/>
  <c r="AK80" i="19"/>
  <c r="AK74" i="19"/>
  <c r="AK44" i="19"/>
  <c r="AK24" i="19"/>
  <c r="AK40" i="19"/>
  <c r="AK70" i="19"/>
  <c r="AK78" i="19"/>
  <c r="AK75" i="19"/>
  <c r="AK48" i="19"/>
  <c r="AK63" i="19"/>
  <c r="AK62" i="19"/>
  <c r="AK61" i="19"/>
  <c r="AK30" i="19"/>
  <c r="AK17" i="19"/>
  <c r="AK67" i="19"/>
  <c r="AK14" i="19"/>
  <c r="AK45" i="19"/>
  <c r="AK57" i="19"/>
  <c r="AK51" i="19"/>
  <c r="AK50" i="19"/>
  <c r="AK5" i="19"/>
  <c r="AK28" i="19"/>
  <c r="AK35" i="19"/>
  <c r="AK8" i="19"/>
  <c r="AK88" i="19"/>
  <c r="AK37" i="19"/>
  <c r="AK21" i="19"/>
  <c r="AK6" i="19"/>
  <c r="AK47" i="19"/>
  <c r="AK59" i="19"/>
  <c r="AK34" i="19"/>
  <c r="AK72" i="19"/>
  <c r="AK73" i="19"/>
  <c r="AK49" i="19"/>
  <c r="AK16" i="19"/>
  <c r="AK10" i="19"/>
  <c r="AK22" i="19"/>
  <c r="AK71" i="19"/>
  <c r="AK27" i="19"/>
  <c r="AK43" i="19"/>
  <c r="AK38" i="19"/>
  <c r="AK84" i="19"/>
  <c r="AK65" i="19"/>
  <c r="AK15" i="19"/>
  <c r="AK83" i="19"/>
  <c r="AK60" i="19"/>
  <c r="AK9" i="19"/>
  <c r="AK56" i="19"/>
  <c r="AK7" i="19"/>
  <c r="AK20" i="19"/>
  <c r="AJ93" i="19"/>
  <c r="AJ94" i="19" s="1"/>
  <c r="G13" i="20"/>
  <c r="AK89" i="19"/>
  <c r="G174" i="9"/>
  <c r="P13" i="20"/>
  <c r="G177" i="9"/>
  <c r="F131" i="9"/>
  <c r="E14" i="11" s="1"/>
  <c r="K129" i="9"/>
  <c r="H13" i="20"/>
  <c r="H3" i="20" s="1"/>
  <c r="F13" i="20"/>
  <c r="I129" i="9"/>
  <c r="F130" i="9"/>
  <c r="G176" i="9" l="1"/>
  <c r="I13" i="20"/>
  <c r="E15" i="11"/>
  <c r="E43" i="11"/>
  <c r="O5" i="6"/>
  <c r="F129" i="9"/>
  <c r="F174" i="9" s="1"/>
  <c r="F176" i="9" s="1"/>
  <c r="D14" i="11"/>
  <c r="T13" i="20"/>
  <c r="T3" i="20" s="1"/>
  <c r="K174" i="9"/>
  <c r="K176" i="9" s="1"/>
  <c r="R13" i="20"/>
  <c r="I174" i="9"/>
  <c r="I176" i="9" s="1"/>
  <c r="I177" i="9"/>
  <c r="E177" i="9" s="1"/>
  <c r="H46" i="3" s="1"/>
  <c r="F4" i="14" s="1"/>
  <c r="E4" i="14" s="1"/>
  <c r="U13" i="20" l="1"/>
  <c r="V13" i="20" s="1"/>
  <c r="H97" i="3"/>
  <c r="H47" i="3"/>
  <c r="F5" i="14" s="1"/>
  <c r="E5" i="14" s="1"/>
  <c r="H107" i="3"/>
  <c r="J66" i="3"/>
  <c r="K46" i="3"/>
  <c r="F39" i="14" s="1"/>
  <c r="E39" i="14" s="1"/>
  <c r="Q46" i="3"/>
  <c r="G46" i="3"/>
  <c r="J46" i="3"/>
  <c r="P46" i="3"/>
  <c r="P5" i="6"/>
  <c r="U5" i="6"/>
  <c r="E174" i="9"/>
  <c r="E176" i="9" s="1"/>
  <c r="M46" i="3"/>
  <c r="N46" i="3"/>
  <c r="F74" i="14" s="1"/>
  <c r="E74" i="14" s="1"/>
  <c r="M66" i="3"/>
  <c r="P66" i="3"/>
  <c r="G66" i="3"/>
  <c r="D15" i="11"/>
  <c r="C17" i="11"/>
  <c r="C16" i="11"/>
  <c r="C14" i="11"/>
  <c r="C15" i="11" s="1"/>
  <c r="D43" i="11"/>
  <c r="O4" i="6"/>
  <c r="G147" i="3" l="1"/>
  <c r="D66" i="3"/>
  <c r="G76" i="3"/>
  <c r="H66" i="3"/>
  <c r="G67" i="3"/>
  <c r="M147" i="3"/>
  <c r="M76" i="3"/>
  <c r="M157" i="3" s="1"/>
  <c r="N66" i="3"/>
  <c r="M67" i="3"/>
  <c r="N47" i="3"/>
  <c r="F75" i="14" s="1"/>
  <c r="E75" i="14" s="1"/>
  <c r="O46" i="3"/>
  <c r="N107" i="3"/>
  <c r="N97" i="3"/>
  <c r="R46" i="3"/>
  <c r="Q47" i="3"/>
  <c r="Q107" i="3"/>
  <c r="Q97" i="3"/>
  <c r="P147" i="3"/>
  <c r="P76" i="3"/>
  <c r="P157" i="3" s="1"/>
  <c r="P67" i="3"/>
  <c r="Q66" i="3"/>
  <c r="G97" i="3"/>
  <c r="G107" i="3"/>
  <c r="G47" i="3"/>
  <c r="I47" i="3" s="1"/>
  <c r="D4" i="14"/>
  <c r="C5" i="2"/>
  <c r="D5" i="2" s="1"/>
  <c r="I5" i="2" s="1"/>
  <c r="V5" i="6"/>
  <c r="P97" i="3"/>
  <c r="P107" i="3"/>
  <c r="P47" i="3"/>
  <c r="H108" i="3"/>
  <c r="H98" i="3"/>
  <c r="O14" i="6"/>
  <c r="P4" i="6"/>
  <c r="U4" i="6"/>
  <c r="L46" i="3"/>
  <c r="K107" i="3"/>
  <c r="K47" i="3"/>
  <c r="F40" i="14" s="1"/>
  <c r="E40" i="14" s="1"/>
  <c r="K97" i="3"/>
  <c r="C43" i="11"/>
  <c r="D44" i="11"/>
  <c r="C44" i="11" s="1"/>
  <c r="M97" i="3"/>
  <c r="M47" i="3"/>
  <c r="M107" i="3"/>
  <c r="J107" i="3"/>
  <c r="J97" i="3"/>
  <c r="J47" i="3"/>
  <c r="J147" i="3"/>
  <c r="J76" i="3"/>
  <c r="J157" i="3" s="1"/>
  <c r="J67" i="3"/>
  <c r="K66" i="3"/>
  <c r="I46" i="3"/>
  <c r="E107" i="3" l="1"/>
  <c r="E97" i="3"/>
  <c r="O4" i="4" s="1"/>
  <c r="L97" i="3"/>
  <c r="D97" i="3"/>
  <c r="N4" i="4" s="1"/>
  <c r="L66" i="3"/>
  <c r="K76" i="3"/>
  <c r="F59" i="14" s="1"/>
  <c r="K147" i="3"/>
  <c r="L147" i="3" s="1"/>
  <c r="K67" i="3"/>
  <c r="K68" i="3" s="1"/>
  <c r="P48" i="3"/>
  <c r="P98" i="3"/>
  <c r="P108" i="3"/>
  <c r="E66" i="3"/>
  <c r="H147" i="3"/>
  <c r="H67" i="3"/>
  <c r="H68" i="3" s="1"/>
  <c r="I66" i="3"/>
  <c r="H76" i="3"/>
  <c r="J148" i="3"/>
  <c r="J77" i="3"/>
  <c r="J158" i="3" s="1"/>
  <c r="J68" i="3"/>
  <c r="J108" i="3"/>
  <c r="J98" i="3"/>
  <c r="J48" i="3"/>
  <c r="M98" i="3"/>
  <c r="M108" i="3"/>
  <c r="M48" i="3"/>
  <c r="V4" i="6"/>
  <c r="C4" i="2"/>
  <c r="O47" i="3"/>
  <c r="N108" i="3"/>
  <c r="N98" i="3"/>
  <c r="D76" i="3"/>
  <c r="G157" i="3"/>
  <c r="D157" i="3" s="1"/>
  <c r="K4" i="4" s="1"/>
  <c r="L47" i="3"/>
  <c r="K108" i="3"/>
  <c r="K98" i="3"/>
  <c r="D5" i="14"/>
  <c r="R66" i="3"/>
  <c r="Q147" i="3"/>
  <c r="R147" i="3" s="1"/>
  <c r="Q76" i="3"/>
  <c r="Q67" i="3"/>
  <c r="Q68" i="3" s="1"/>
  <c r="R97" i="3"/>
  <c r="O97" i="3"/>
  <c r="D107" i="3"/>
  <c r="R47" i="3"/>
  <c r="Q108" i="3"/>
  <c r="Q98" i="3"/>
  <c r="N147" i="3"/>
  <c r="O147" i="3" s="1"/>
  <c r="O66" i="3"/>
  <c r="N76" i="3"/>
  <c r="N67" i="3"/>
  <c r="N68" i="3" s="1"/>
  <c r="I107" i="3"/>
  <c r="P15" i="6"/>
  <c r="P14" i="6"/>
  <c r="I97" i="3"/>
  <c r="D39" i="14"/>
  <c r="L107" i="3"/>
  <c r="G108" i="3"/>
  <c r="G48" i="3"/>
  <c r="G98" i="3"/>
  <c r="I98" i="3" s="1"/>
  <c r="P148" i="3"/>
  <c r="P77" i="3"/>
  <c r="P158" i="3" s="1"/>
  <c r="P68" i="3"/>
  <c r="D109" i="14"/>
  <c r="R107" i="3"/>
  <c r="D74" i="14"/>
  <c r="O107" i="3"/>
  <c r="M148" i="3"/>
  <c r="M68" i="3"/>
  <c r="M77" i="3"/>
  <c r="M158" i="3" s="1"/>
  <c r="G148" i="3"/>
  <c r="D67" i="3"/>
  <c r="G68" i="3"/>
  <c r="G77" i="3"/>
  <c r="D147" i="3"/>
  <c r="R98" i="3" l="1"/>
  <c r="P4" i="4"/>
  <c r="D108" i="3"/>
  <c r="K69" i="3"/>
  <c r="Q69" i="3"/>
  <c r="H69" i="3"/>
  <c r="E68" i="3"/>
  <c r="N69" i="3"/>
  <c r="L98" i="3"/>
  <c r="G78" i="3"/>
  <c r="G149" i="3"/>
  <c r="D68" i="3"/>
  <c r="G69" i="3"/>
  <c r="I68" i="3"/>
  <c r="J149" i="3"/>
  <c r="J78" i="3"/>
  <c r="J69" i="3"/>
  <c r="L68" i="3"/>
  <c r="L67" i="3"/>
  <c r="K148" i="3"/>
  <c r="L148" i="3" s="1"/>
  <c r="K77" i="3"/>
  <c r="P149" i="3"/>
  <c r="P78" i="3"/>
  <c r="P69" i="3"/>
  <c r="R68" i="3"/>
  <c r="G109" i="3"/>
  <c r="G49" i="3"/>
  <c r="R67" i="3"/>
  <c r="Q148" i="3"/>
  <c r="R148" i="3" s="1"/>
  <c r="Q77" i="3"/>
  <c r="D75" i="14"/>
  <c r="O108" i="3"/>
  <c r="F107" i="3"/>
  <c r="R76" i="3"/>
  <c r="F129" i="14"/>
  <c r="E129" i="14" s="1"/>
  <c r="Q157" i="3"/>
  <c r="R157" i="3" s="1"/>
  <c r="T4" i="4"/>
  <c r="J109" i="3"/>
  <c r="J49" i="3"/>
  <c r="I67" i="3"/>
  <c r="H148" i="3"/>
  <c r="E67" i="3"/>
  <c r="H77" i="3"/>
  <c r="D148" i="3"/>
  <c r="F97" i="3"/>
  <c r="O67" i="3"/>
  <c r="N77" i="3"/>
  <c r="N148" i="3"/>
  <c r="O148" i="3" s="1"/>
  <c r="I108" i="3"/>
  <c r="L108" i="3"/>
  <c r="D40" i="14"/>
  <c r="D4" i="2"/>
  <c r="M109" i="3"/>
  <c r="M49" i="3"/>
  <c r="E147" i="3"/>
  <c r="I147" i="3"/>
  <c r="F147" i="3" s="1"/>
  <c r="K157" i="3"/>
  <c r="L157" i="3" s="1"/>
  <c r="L76" i="3"/>
  <c r="E59" i="14"/>
  <c r="M69" i="3"/>
  <c r="M149" i="3"/>
  <c r="M78" i="3"/>
  <c r="O68" i="3"/>
  <c r="F66" i="3"/>
  <c r="D77" i="3"/>
  <c r="G158" i="3"/>
  <c r="D158" i="3" s="1"/>
  <c r="K5" i="4" s="1"/>
  <c r="D98" i="3"/>
  <c r="N5" i="4" s="1"/>
  <c r="E98" i="3"/>
  <c r="O5" i="4" s="1"/>
  <c r="O76" i="3"/>
  <c r="N157" i="3"/>
  <c r="O157" i="3" s="1"/>
  <c r="F94" i="14"/>
  <c r="E94" i="14" s="1"/>
  <c r="R108" i="3"/>
  <c r="D110" i="14"/>
  <c r="E108" i="3"/>
  <c r="O98" i="3"/>
  <c r="E76" i="3"/>
  <c r="F24" i="14"/>
  <c r="E24" i="14" s="1"/>
  <c r="H157" i="3"/>
  <c r="I76" i="3"/>
  <c r="P109" i="3"/>
  <c r="P49" i="3"/>
  <c r="F67" i="3" l="1"/>
  <c r="D94" i="14"/>
  <c r="F98" i="3"/>
  <c r="Q70" i="3"/>
  <c r="H70" i="3"/>
  <c r="E69" i="3"/>
  <c r="N70" i="3"/>
  <c r="F76" i="3"/>
  <c r="K70" i="3"/>
  <c r="D59" i="14"/>
  <c r="D109" i="3"/>
  <c r="P159" i="3"/>
  <c r="J159" i="3"/>
  <c r="T5" i="4"/>
  <c r="E5" i="2" s="1"/>
  <c r="E77" i="3"/>
  <c r="H158" i="3"/>
  <c r="I77" i="3"/>
  <c r="F25" i="14"/>
  <c r="E25" i="14" s="1"/>
  <c r="D129" i="14"/>
  <c r="R77" i="3"/>
  <c r="Q158" i="3"/>
  <c r="R158" i="3" s="1"/>
  <c r="F130" i="14"/>
  <c r="E130" i="14" s="1"/>
  <c r="D149" i="3"/>
  <c r="P5" i="4"/>
  <c r="I157" i="3"/>
  <c r="E157" i="3"/>
  <c r="L4" i="4" s="1"/>
  <c r="O77" i="3"/>
  <c r="N158" i="3"/>
  <c r="O158" i="3" s="1"/>
  <c r="F95" i="14"/>
  <c r="E95" i="14" s="1"/>
  <c r="P50" i="3"/>
  <c r="P110" i="3"/>
  <c r="D24" i="14"/>
  <c r="J110" i="3"/>
  <c r="J50" i="3"/>
  <c r="E4" i="2"/>
  <c r="F68" i="3"/>
  <c r="D78" i="3"/>
  <c r="G159" i="3"/>
  <c r="M159" i="3"/>
  <c r="I4" i="2"/>
  <c r="F108" i="3"/>
  <c r="M150" i="3"/>
  <c r="M79" i="3"/>
  <c r="M70" i="3"/>
  <c r="O69" i="3"/>
  <c r="M110" i="3"/>
  <c r="M50" i="3"/>
  <c r="E148" i="3"/>
  <c r="I148" i="3"/>
  <c r="F148" i="3" s="1"/>
  <c r="G110" i="3"/>
  <c r="G50" i="3"/>
  <c r="P150" i="3"/>
  <c r="P79" i="3"/>
  <c r="P70" i="3"/>
  <c r="R69" i="3"/>
  <c r="L77" i="3"/>
  <c r="K158" i="3"/>
  <c r="L158" i="3" s="1"/>
  <c r="F60" i="14"/>
  <c r="E60" i="14" s="1"/>
  <c r="J150" i="3"/>
  <c r="J79" i="3"/>
  <c r="J70" i="3"/>
  <c r="L69" i="3"/>
  <c r="D69" i="3"/>
  <c r="G150" i="3"/>
  <c r="G79" i="3"/>
  <c r="G70" i="3"/>
  <c r="I69" i="3"/>
  <c r="H71" i="3" l="1"/>
  <c r="E70" i="3"/>
  <c r="Q71" i="3"/>
  <c r="N71" i="3"/>
  <c r="K71" i="3"/>
  <c r="F69" i="3"/>
  <c r="D95" i="14"/>
  <c r="D130" i="14"/>
  <c r="J151" i="3"/>
  <c r="J71" i="3"/>
  <c r="J80" i="3"/>
  <c r="L70" i="3"/>
  <c r="M151" i="3"/>
  <c r="M80" i="3"/>
  <c r="M71" i="3"/>
  <c r="O70" i="3"/>
  <c r="I158" i="3"/>
  <c r="F158" i="3" s="1"/>
  <c r="E158" i="3"/>
  <c r="L5" i="4" s="1"/>
  <c r="D79" i="3"/>
  <c r="G160" i="3"/>
  <c r="P160" i="3"/>
  <c r="M111" i="3"/>
  <c r="M51" i="3"/>
  <c r="F157" i="3"/>
  <c r="J160" i="3"/>
  <c r="M160" i="3"/>
  <c r="D159" i="3"/>
  <c r="K6" i="4" s="1"/>
  <c r="D25" i="14"/>
  <c r="D110" i="3"/>
  <c r="P111" i="3"/>
  <c r="P51" i="3"/>
  <c r="D150" i="3"/>
  <c r="D70" i="3"/>
  <c r="G151" i="3"/>
  <c r="G80" i="3"/>
  <c r="G71" i="3"/>
  <c r="I70" i="3"/>
  <c r="D60" i="14"/>
  <c r="P80" i="3"/>
  <c r="P151" i="3"/>
  <c r="P71" i="3"/>
  <c r="R70" i="3"/>
  <c r="G51" i="3"/>
  <c r="G111" i="3"/>
  <c r="J111" i="3"/>
  <c r="J51" i="3"/>
  <c r="M4" i="4"/>
  <c r="U4" i="4"/>
  <c r="F77" i="3"/>
  <c r="K72" i="3" l="1"/>
  <c r="Q72" i="3"/>
  <c r="H72" i="3"/>
  <c r="E71" i="3"/>
  <c r="N72" i="3"/>
  <c r="D160" i="3"/>
  <c r="K7" i="4" s="1"/>
  <c r="P161" i="3"/>
  <c r="P152" i="3"/>
  <c r="P81" i="3"/>
  <c r="P72" i="3"/>
  <c r="R71" i="3"/>
  <c r="P52" i="3"/>
  <c r="P112" i="3"/>
  <c r="M112" i="3"/>
  <c r="M52" i="3"/>
  <c r="M5" i="4"/>
  <c r="U5" i="4"/>
  <c r="M152" i="3"/>
  <c r="M81" i="3"/>
  <c r="M72" i="3"/>
  <c r="O71" i="3"/>
  <c r="J161" i="3"/>
  <c r="D80" i="3"/>
  <c r="G161" i="3"/>
  <c r="D151" i="3"/>
  <c r="D111" i="3"/>
  <c r="F70" i="3"/>
  <c r="F4" i="2"/>
  <c r="V4" i="4"/>
  <c r="J112" i="3"/>
  <c r="J52" i="3"/>
  <c r="G52" i="3"/>
  <c r="G112" i="3"/>
  <c r="D71" i="3"/>
  <c r="G81" i="3"/>
  <c r="G152" i="3"/>
  <c r="G72" i="3"/>
  <c r="I71" i="3"/>
  <c r="M161" i="3"/>
  <c r="J152" i="3"/>
  <c r="J81" i="3"/>
  <c r="J72" i="3"/>
  <c r="L71" i="3"/>
  <c r="K73" i="3" l="1"/>
  <c r="H73" i="3"/>
  <c r="E72" i="3"/>
  <c r="Q73" i="3"/>
  <c r="N73" i="3"/>
  <c r="P153" i="3"/>
  <c r="P82" i="3"/>
  <c r="P73" i="3"/>
  <c r="R72" i="3"/>
  <c r="G53" i="3"/>
  <c r="G113" i="3"/>
  <c r="P162" i="3"/>
  <c r="D112" i="3"/>
  <c r="J162" i="3"/>
  <c r="F5" i="2"/>
  <c r="G5" i="2" s="1"/>
  <c r="J5" i="2" s="1"/>
  <c r="V5" i="4"/>
  <c r="B9" i="31" s="1"/>
  <c r="M53" i="3"/>
  <c r="M113" i="3"/>
  <c r="P53" i="3"/>
  <c r="P113" i="3"/>
  <c r="J153" i="3"/>
  <c r="J82" i="3"/>
  <c r="J73" i="3"/>
  <c r="L72" i="3"/>
  <c r="D152" i="3"/>
  <c r="D161" i="3"/>
  <c r="K8" i="4" s="1"/>
  <c r="D81" i="3"/>
  <c r="G162" i="3"/>
  <c r="G4" i="2"/>
  <c r="F71" i="3"/>
  <c r="J113" i="3"/>
  <c r="J53" i="3"/>
  <c r="M153" i="3"/>
  <c r="M82" i="3"/>
  <c r="M73" i="3"/>
  <c r="O72" i="3"/>
  <c r="D72" i="3"/>
  <c r="G153" i="3"/>
  <c r="G82" i="3"/>
  <c r="G73" i="3"/>
  <c r="I72" i="3"/>
  <c r="B8" i="31"/>
  <c r="M162" i="3"/>
  <c r="N74" i="3" l="1"/>
  <c r="H74" i="3"/>
  <c r="E73" i="3"/>
  <c r="Q74" i="3"/>
  <c r="K74" i="3"/>
  <c r="D73" i="3"/>
  <c r="G154" i="3"/>
  <c r="G74" i="3"/>
  <c r="G83" i="3"/>
  <c r="I73" i="3"/>
  <c r="J114" i="3"/>
  <c r="J54" i="3"/>
  <c r="G163" i="3"/>
  <c r="D82" i="3"/>
  <c r="D153" i="3"/>
  <c r="J83" i="3"/>
  <c r="J154" i="3"/>
  <c r="J74" i="3"/>
  <c r="L73" i="3"/>
  <c r="P114" i="3"/>
  <c r="P54" i="3"/>
  <c r="D113" i="3"/>
  <c r="G114" i="3"/>
  <c r="G54" i="3"/>
  <c r="P163" i="3"/>
  <c r="M154" i="3"/>
  <c r="M74" i="3"/>
  <c r="M83" i="3"/>
  <c r="O73" i="3"/>
  <c r="D162" i="3"/>
  <c r="K9" i="4" s="1"/>
  <c r="C8" i="31"/>
  <c r="F72" i="3"/>
  <c r="M163" i="3"/>
  <c r="J4" i="2"/>
  <c r="J163" i="3"/>
  <c r="M114" i="3"/>
  <c r="M54" i="3"/>
  <c r="P154" i="3"/>
  <c r="P83" i="3"/>
  <c r="P74" i="3"/>
  <c r="R73" i="3"/>
  <c r="H75" i="3" l="1"/>
  <c r="E74" i="3"/>
  <c r="Q75" i="3"/>
  <c r="K75" i="3"/>
  <c r="N75" i="3"/>
  <c r="D154" i="3"/>
  <c r="F73" i="3"/>
  <c r="K4" i="2"/>
  <c r="P75" i="3"/>
  <c r="P155" i="3"/>
  <c r="P84" i="3"/>
  <c r="R74" i="3"/>
  <c r="G115" i="3"/>
  <c r="G55" i="3"/>
  <c r="J164" i="3"/>
  <c r="D163" i="3"/>
  <c r="K10" i="4" s="1"/>
  <c r="J115" i="3"/>
  <c r="J55" i="3"/>
  <c r="D83" i="3"/>
  <c r="G164" i="3"/>
  <c r="J75" i="3"/>
  <c r="J155" i="3"/>
  <c r="J84" i="3"/>
  <c r="L74" i="3"/>
  <c r="M164" i="3"/>
  <c r="P164" i="3"/>
  <c r="M155" i="3"/>
  <c r="M84" i="3"/>
  <c r="M75" i="3"/>
  <c r="O74" i="3"/>
  <c r="M55" i="3"/>
  <c r="M115" i="3"/>
  <c r="C9" i="31"/>
  <c r="D114" i="3"/>
  <c r="P115" i="3"/>
  <c r="P55" i="3"/>
  <c r="D74" i="3"/>
  <c r="G155" i="3"/>
  <c r="G84" i="3"/>
  <c r="G75" i="3"/>
  <c r="I74" i="3"/>
  <c r="E75" i="3" l="1"/>
  <c r="F74" i="3"/>
  <c r="D155" i="3"/>
  <c r="P116" i="3"/>
  <c r="M165" i="3"/>
  <c r="D75" i="3"/>
  <c r="G156" i="3"/>
  <c r="G85" i="3"/>
  <c r="I75" i="3"/>
  <c r="M116" i="3"/>
  <c r="P85" i="3"/>
  <c r="P156" i="3"/>
  <c r="R75" i="3"/>
  <c r="J116" i="3"/>
  <c r="P165" i="3"/>
  <c r="J156" i="3"/>
  <c r="J85" i="3"/>
  <c r="L75" i="3"/>
  <c r="D164" i="3"/>
  <c r="K11" i="4" s="1"/>
  <c r="D115" i="3"/>
  <c r="G165" i="3"/>
  <c r="D84" i="3"/>
  <c r="M156" i="3"/>
  <c r="M85" i="3"/>
  <c r="O75" i="3"/>
  <c r="J165" i="3"/>
  <c r="G116" i="3"/>
  <c r="L4" i="2"/>
  <c r="K5" i="2"/>
  <c r="D116" i="3" l="1"/>
  <c r="D156" i="3"/>
  <c r="D165" i="3"/>
  <c r="K12" i="4" s="1"/>
  <c r="D85" i="3"/>
  <c r="G166" i="3"/>
  <c r="M166" i="3"/>
  <c r="L5" i="2"/>
  <c r="J166" i="3"/>
  <c r="P166" i="3"/>
  <c r="F75" i="3"/>
  <c r="D166" i="3" l="1"/>
  <c r="K13" i="4" s="1"/>
  <c r="K14" i="4" l="1"/>
  <c r="AD5" i="33" l="1"/>
  <c r="AE5" i="33"/>
  <c r="AH90" i="33" s="1"/>
  <c r="AH5" i="33" s="1"/>
  <c r="AH4" i="33" s="1"/>
  <c r="AH442" i="33" s="1"/>
  <c r="AG49" i="24" s="1"/>
  <c r="AG90" i="33" l="1"/>
  <c r="AF90" i="33"/>
  <c r="AE12" i="24" s="1"/>
  <c r="AE5" i="24" s="1"/>
  <c r="AI90" i="33"/>
  <c r="AH12" i="24" s="1"/>
  <c r="AH5" i="24" s="1"/>
  <c r="AH4" i="24" s="1"/>
  <c r="AF12" i="24"/>
  <c r="AF5" i="24" s="1"/>
  <c r="AF4" i="24" s="1"/>
  <c r="AG5" i="33"/>
  <c r="AG4" i="33" s="1"/>
  <c r="AF5" i="33"/>
  <c r="AG12" i="24"/>
  <c r="AG5" i="24" s="1"/>
  <c r="AG4" i="24" s="1"/>
  <c r="AG50" i="24" s="1"/>
  <c r="V5" i="24" l="1"/>
  <c r="X5" i="24"/>
  <c r="AA5" i="24"/>
  <c r="Z5" i="24"/>
  <c r="E5" i="24"/>
  <c r="W5" i="24"/>
  <c r="D5" i="24"/>
  <c r="T5" i="24"/>
  <c r="AC5" i="24"/>
  <c r="AB5" i="24"/>
  <c r="P5" i="24"/>
  <c r="Y5" i="24"/>
  <c r="Q5" i="24"/>
  <c r="N5" i="24"/>
  <c r="F5" i="24"/>
  <c r="R5" i="24"/>
  <c r="S5" i="24"/>
  <c r="G5" i="24"/>
  <c r="U5" i="24"/>
  <c r="AI5" i="33"/>
  <c r="AI4" i="33" s="1"/>
  <c r="AI442" i="33" s="1"/>
  <c r="AH49" i="24" s="1"/>
  <c r="AH50" i="24" s="1"/>
  <c r="N5" i="33"/>
  <c r="W5" i="33"/>
  <c r="P5" i="33"/>
  <c r="AC5" i="33"/>
  <c r="G5" i="33"/>
  <c r="E5" i="33"/>
  <c r="F5" i="33"/>
  <c r="X5" i="33"/>
  <c r="V5" i="33"/>
  <c r="S5" i="33"/>
  <c r="Y5" i="33"/>
  <c r="D5" i="33"/>
  <c r="U5" i="33"/>
  <c r="Q5" i="33"/>
  <c r="T5" i="33"/>
  <c r="AB5" i="33"/>
  <c r="Z5" i="33"/>
  <c r="R5" i="33"/>
  <c r="AA5" i="33"/>
  <c r="AE4" i="24"/>
  <c r="AF4" i="33"/>
  <c r="L4" i="33" s="1"/>
  <c r="AG442" i="33"/>
  <c r="AF49" i="24" s="1"/>
  <c r="AF50" i="24" s="1"/>
  <c r="I4" i="24" l="1"/>
  <c r="V4" i="33"/>
  <c r="Y4" i="24"/>
  <c r="E4" i="33"/>
  <c r="W4" i="33"/>
  <c r="K4" i="33"/>
  <c r="U4" i="24"/>
  <c r="AC4" i="33"/>
  <c r="AB4" i="24"/>
  <c r="J4" i="33"/>
  <c r="AB4" i="33"/>
  <c r="X4" i="33"/>
  <c r="Y4" i="33"/>
  <c r="AA4" i="33"/>
  <c r="F4" i="33"/>
  <c r="Z4" i="33"/>
  <c r="P4" i="24"/>
  <c r="S4" i="24"/>
  <c r="R4" i="33"/>
  <c r="M4" i="33"/>
  <c r="W4" i="24"/>
  <c r="K4" i="24"/>
  <c r="AD4" i="24"/>
  <c r="O4" i="33"/>
  <c r="AA4" i="24"/>
  <c r="N4" i="33"/>
  <c r="N4" i="24"/>
  <c r="F4" i="24"/>
  <c r="AC4" i="24"/>
  <c r="AF442" i="33"/>
  <c r="AE49" i="24" s="1"/>
  <c r="AE50" i="24" s="1"/>
  <c r="AF52" i="24" s="1"/>
  <c r="AE4" i="33"/>
  <c r="Q4" i="24"/>
  <c r="AD4" i="33"/>
  <c r="G4" i="33"/>
  <c r="I4" i="33"/>
  <c r="T4" i="24"/>
  <c r="R4" i="24"/>
  <c r="D4" i="24"/>
  <c r="G4" i="24"/>
  <c r="P4" i="33"/>
  <c r="H4" i="33"/>
  <c r="S4" i="33"/>
  <c r="Z4" i="24"/>
  <c r="V4" i="24"/>
  <c r="H4" i="24"/>
  <c r="L4" i="24"/>
  <c r="E4" i="24"/>
  <c r="Q4" i="33"/>
  <c r="D4" i="33"/>
  <c r="U4" i="33"/>
  <c r="T4" i="33"/>
  <c r="O4" i="24"/>
  <c r="J4" i="24"/>
  <c r="X4" i="24"/>
  <c r="M4" i="24"/>
  <c r="AG444" i="33" l="1"/>
  <c r="AG443" i="33" s="1"/>
  <c r="AF53" i="24"/>
  <c r="AE52" i="24"/>
  <c r="F51" i="14" s="1"/>
  <c r="H18" i="3"/>
  <c r="H78" i="3" s="1"/>
  <c r="AF444" i="33"/>
  <c r="AF445" i="33" s="1"/>
  <c r="AE53" i="24"/>
  <c r="F16" i="14"/>
  <c r="AG445" i="33"/>
  <c r="I18" i="3" l="1"/>
  <c r="Q18" i="3"/>
  <c r="Q19" i="3" s="1"/>
  <c r="H19" i="3"/>
  <c r="I19" i="3" s="1"/>
  <c r="F86" i="14"/>
  <c r="E86" i="14" s="1"/>
  <c r="H8" i="3"/>
  <c r="H9" i="3" s="1"/>
  <c r="K18" i="3"/>
  <c r="K19" i="3" s="1"/>
  <c r="N18" i="3"/>
  <c r="N78" i="3" s="1"/>
  <c r="E18" i="3"/>
  <c r="E51" i="14"/>
  <c r="F52" i="14"/>
  <c r="F26" i="14"/>
  <c r="E26" i="14" s="1"/>
  <c r="I78" i="3"/>
  <c r="H159" i="3"/>
  <c r="E16" i="14"/>
  <c r="F17" i="14"/>
  <c r="R18" i="3"/>
  <c r="Q78" i="3"/>
  <c r="H20" i="3"/>
  <c r="K48" i="3"/>
  <c r="H48" i="3" l="1"/>
  <c r="H49" i="3" s="1"/>
  <c r="F7" i="14" s="1"/>
  <c r="E7" i="14" s="1"/>
  <c r="H79" i="3"/>
  <c r="L18" i="3"/>
  <c r="N19" i="3"/>
  <c r="O18" i="3"/>
  <c r="F18" i="3" s="1"/>
  <c r="N8" i="3"/>
  <c r="O8" i="3" s="1"/>
  <c r="D16" i="14"/>
  <c r="H129" i="3"/>
  <c r="I129" i="3" s="1"/>
  <c r="H89" i="3"/>
  <c r="H99" i="3" s="1"/>
  <c r="F87" i="14"/>
  <c r="F88" i="14" s="1"/>
  <c r="H139" i="3"/>
  <c r="H149" i="3"/>
  <c r="K78" i="3"/>
  <c r="E78" i="3" s="1"/>
  <c r="Q8" i="3"/>
  <c r="Q129" i="3" s="1"/>
  <c r="R129" i="3" s="1"/>
  <c r="I8" i="3"/>
  <c r="K8" i="3"/>
  <c r="L8" i="3" s="1"/>
  <c r="E19" i="3"/>
  <c r="D26" i="14"/>
  <c r="I48" i="3"/>
  <c r="O19" i="3"/>
  <c r="N79" i="3"/>
  <c r="N20" i="3"/>
  <c r="L48" i="3"/>
  <c r="K49" i="3"/>
  <c r="R78" i="3"/>
  <c r="F131" i="14"/>
  <c r="E131" i="14" s="1"/>
  <c r="Q159" i="3"/>
  <c r="R159" i="3" s="1"/>
  <c r="N159" i="3"/>
  <c r="O159" i="3" s="1"/>
  <c r="F96" i="14"/>
  <c r="E96" i="14" s="1"/>
  <c r="O78" i="3"/>
  <c r="L19" i="3"/>
  <c r="K20" i="3"/>
  <c r="K79" i="3"/>
  <c r="N89" i="3"/>
  <c r="N9" i="3"/>
  <c r="E17" i="14"/>
  <c r="D17" i="14" s="1"/>
  <c r="F18" i="14"/>
  <c r="E52" i="14"/>
  <c r="F53" i="14"/>
  <c r="R19" i="3"/>
  <c r="Q79" i="3"/>
  <c r="Q20" i="3"/>
  <c r="I9" i="3"/>
  <c r="H90" i="3"/>
  <c r="H10" i="3"/>
  <c r="H130" i="3"/>
  <c r="H150" i="3"/>
  <c r="H140" i="3"/>
  <c r="F6" i="14"/>
  <c r="E6" i="14" s="1"/>
  <c r="H109" i="3"/>
  <c r="I20" i="3"/>
  <c r="H80" i="3"/>
  <c r="H21" i="3"/>
  <c r="I149" i="3"/>
  <c r="I139" i="3"/>
  <c r="I79" i="3"/>
  <c r="H160" i="3"/>
  <c r="F27" i="14"/>
  <c r="E27" i="14" s="1"/>
  <c r="I159" i="3"/>
  <c r="K159" i="3" l="1"/>
  <c r="L159" i="3" s="1"/>
  <c r="L78" i="3"/>
  <c r="F61" i="14"/>
  <c r="E61" i="14" s="1"/>
  <c r="D61" i="14" s="1"/>
  <c r="N139" i="3"/>
  <c r="O139" i="3" s="1"/>
  <c r="N129" i="3"/>
  <c r="O129" i="3" s="1"/>
  <c r="Q48" i="3"/>
  <c r="Q109" i="3" s="1"/>
  <c r="D111" i="14" s="1"/>
  <c r="D86" i="14"/>
  <c r="K149" i="3"/>
  <c r="L149" i="3" s="1"/>
  <c r="K129" i="3"/>
  <c r="L129" i="3" s="1"/>
  <c r="Q149" i="3"/>
  <c r="R149" i="3" s="1"/>
  <c r="N149" i="3"/>
  <c r="O149" i="3" s="1"/>
  <c r="K109" i="3"/>
  <c r="L109" i="3" s="1"/>
  <c r="D121" i="14"/>
  <c r="I89" i="3"/>
  <c r="H119" i="3" s="1"/>
  <c r="F41" i="14"/>
  <c r="E41" i="14" s="1"/>
  <c r="Q89" i="3"/>
  <c r="G99" i="3"/>
  <c r="I99" i="3" s="1"/>
  <c r="Q139" i="3"/>
  <c r="R139" i="3" s="1"/>
  <c r="R8" i="3"/>
  <c r="E87" i="14"/>
  <c r="D87" i="14" s="1"/>
  <c r="H110" i="3"/>
  <c r="I110" i="3" s="1"/>
  <c r="K139" i="3"/>
  <c r="L139" i="3" s="1"/>
  <c r="D51" i="14"/>
  <c r="K89" i="3"/>
  <c r="E8" i="3"/>
  <c r="N48" i="3"/>
  <c r="F76" i="14" s="1"/>
  <c r="E76" i="14" s="1"/>
  <c r="K9" i="3"/>
  <c r="K130" i="3" s="1"/>
  <c r="L130" i="3" s="1"/>
  <c r="Q9" i="3"/>
  <c r="Q150" i="3" s="1"/>
  <c r="R150" i="3" s="1"/>
  <c r="F19" i="3"/>
  <c r="E20" i="3"/>
  <c r="F78" i="3"/>
  <c r="D27" i="14"/>
  <c r="F8" i="3"/>
  <c r="I21" i="3"/>
  <c r="H81" i="3"/>
  <c r="H22" i="3"/>
  <c r="L79" i="3"/>
  <c r="F62" i="14"/>
  <c r="E62" i="14" s="1"/>
  <c r="K160" i="3"/>
  <c r="L160" i="3" s="1"/>
  <c r="G100" i="3"/>
  <c r="I90" i="3"/>
  <c r="H100" i="3"/>
  <c r="M99" i="3"/>
  <c r="O89" i="3"/>
  <c r="N119" i="3" s="1"/>
  <c r="O119" i="3" s="1"/>
  <c r="L20" i="3"/>
  <c r="K21" i="3"/>
  <c r="K80" i="3"/>
  <c r="I130" i="3"/>
  <c r="L49" i="3"/>
  <c r="K50" i="3"/>
  <c r="I80" i="3"/>
  <c r="H161" i="3"/>
  <c r="F28" i="14"/>
  <c r="E28" i="14" s="1"/>
  <c r="I10" i="3"/>
  <c r="H151" i="3"/>
  <c r="H131" i="3"/>
  <c r="H91" i="3"/>
  <c r="H141" i="3"/>
  <c r="H11" i="3"/>
  <c r="O20" i="3"/>
  <c r="N80" i="3"/>
  <c r="N21" i="3"/>
  <c r="E53" i="14"/>
  <c r="F54" i="14"/>
  <c r="D6" i="14"/>
  <c r="N140" i="3"/>
  <c r="O140" i="3" s="1"/>
  <c r="O9" i="3"/>
  <c r="N150" i="3"/>
  <c r="O150" i="3" s="1"/>
  <c r="N90" i="3"/>
  <c r="N130" i="3"/>
  <c r="O130" i="3" s="1"/>
  <c r="N10" i="3"/>
  <c r="I160" i="3"/>
  <c r="I109" i="3"/>
  <c r="N160" i="3"/>
  <c r="O160" i="3" s="1"/>
  <c r="O79" i="3"/>
  <c r="F97" i="14"/>
  <c r="E97" i="14" s="1"/>
  <c r="F159" i="3"/>
  <c r="E149" i="3"/>
  <c r="I140" i="3"/>
  <c r="E18" i="14"/>
  <c r="D18" i="14" s="1"/>
  <c r="F19" i="14"/>
  <c r="D131" i="14"/>
  <c r="E79" i="3"/>
  <c r="F89" i="14"/>
  <c r="E88" i="14"/>
  <c r="Q21" i="3"/>
  <c r="R20" i="3"/>
  <c r="Q80" i="3"/>
  <c r="Q160" i="3"/>
  <c r="R160" i="3" s="1"/>
  <c r="F132" i="14"/>
  <c r="E132" i="14" s="1"/>
  <c r="R79" i="3"/>
  <c r="E159" i="3"/>
  <c r="L6" i="4" s="1"/>
  <c r="I150" i="3"/>
  <c r="D96" i="14"/>
  <c r="I49" i="3"/>
  <c r="H50" i="3"/>
  <c r="F8" i="14" s="1"/>
  <c r="E8" i="14" s="1"/>
  <c r="Q99" i="3" l="1"/>
  <c r="E89" i="3"/>
  <c r="Q49" i="3"/>
  <c r="Q110" i="3" s="1"/>
  <c r="R110" i="3" s="1"/>
  <c r="R48" i="3"/>
  <c r="F149" i="3"/>
  <c r="E129" i="3"/>
  <c r="N109" i="3"/>
  <c r="O109" i="3" s="1"/>
  <c r="D41" i="14"/>
  <c r="F139" i="3"/>
  <c r="L89" i="3"/>
  <c r="K119" i="3" s="1"/>
  <c r="L119" i="3" s="1"/>
  <c r="R89" i="3"/>
  <c r="Q119" i="3" s="1"/>
  <c r="R119" i="3" s="1"/>
  <c r="P99" i="3"/>
  <c r="R99" i="3" s="1"/>
  <c r="D52" i="14"/>
  <c r="Q10" i="3"/>
  <c r="Q91" i="3" s="1"/>
  <c r="Q130" i="3"/>
  <c r="R130" i="3" s="1"/>
  <c r="Q90" i="3"/>
  <c r="P100" i="3" s="1"/>
  <c r="Q140" i="3"/>
  <c r="R140" i="3" s="1"/>
  <c r="D122" i="14"/>
  <c r="D7" i="14"/>
  <c r="L9" i="3"/>
  <c r="E139" i="3"/>
  <c r="C6" i="4" s="1"/>
  <c r="R6" i="4" s="1"/>
  <c r="R9" i="3"/>
  <c r="K99" i="3"/>
  <c r="J99" i="3"/>
  <c r="K150" i="3"/>
  <c r="L150" i="3" s="1"/>
  <c r="F150" i="3" s="1"/>
  <c r="E9" i="3"/>
  <c r="K90" i="3"/>
  <c r="L90" i="3" s="1"/>
  <c r="K120" i="3" s="1"/>
  <c r="L120" i="3" s="1"/>
  <c r="K140" i="3"/>
  <c r="L140" i="3" s="1"/>
  <c r="K10" i="3"/>
  <c r="K111" i="3" s="1"/>
  <c r="L111" i="3" s="1"/>
  <c r="R109" i="3"/>
  <c r="O48" i="3"/>
  <c r="N99" i="3"/>
  <c r="O99" i="3" s="1"/>
  <c r="K110" i="3"/>
  <c r="L110" i="3" s="1"/>
  <c r="F42" i="14"/>
  <c r="E42" i="14" s="1"/>
  <c r="N49" i="3"/>
  <c r="N50" i="3" s="1"/>
  <c r="F78" i="14" s="1"/>
  <c r="E78" i="14" s="1"/>
  <c r="F79" i="3"/>
  <c r="E21" i="3"/>
  <c r="D88" i="14"/>
  <c r="D28" i="14"/>
  <c r="F20" i="3"/>
  <c r="D97" i="14"/>
  <c r="O80" i="3"/>
  <c r="N161" i="3"/>
  <c r="O161" i="3" s="1"/>
  <c r="F98" i="14"/>
  <c r="E98" i="14" s="1"/>
  <c r="I131" i="3"/>
  <c r="I161" i="3"/>
  <c r="D62" i="14"/>
  <c r="E19" i="14"/>
  <c r="D19" i="14" s="1"/>
  <c r="F20" i="14"/>
  <c r="F160" i="3"/>
  <c r="M100" i="3"/>
  <c r="O90" i="3"/>
  <c r="N120" i="3" s="1"/>
  <c r="O120" i="3" s="1"/>
  <c r="I151" i="3"/>
  <c r="I100" i="3"/>
  <c r="F129" i="3"/>
  <c r="R6" i="6"/>
  <c r="E160" i="3"/>
  <c r="L7" i="4" s="1"/>
  <c r="M7" i="4" s="1"/>
  <c r="H120" i="3"/>
  <c r="L50" i="3"/>
  <c r="K51" i="3"/>
  <c r="H162" i="3"/>
  <c r="F29" i="14"/>
  <c r="E29" i="14" s="1"/>
  <c r="I81" i="3"/>
  <c r="M6" i="4"/>
  <c r="R21" i="3"/>
  <c r="Q22" i="3"/>
  <c r="Q81" i="3"/>
  <c r="H152" i="3"/>
  <c r="I11" i="3"/>
  <c r="H142" i="3"/>
  <c r="H132" i="3"/>
  <c r="H92" i="3"/>
  <c r="H12" i="3"/>
  <c r="I50" i="3"/>
  <c r="H51" i="3"/>
  <c r="F9" i="14" s="1"/>
  <c r="E9" i="14" s="1"/>
  <c r="R80" i="3"/>
  <c r="Q161" i="3"/>
  <c r="R161" i="3" s="1"/>
  <c r="F133" i="14"/>
  <c r="E133" i="14" s="1"/>
  <c r="L80" i="3"/>
  <c r="F63" i="14"/>
  <c r="E63" i="14" s="1"/>
  <c r="K161" i="3"/>
  <c r="L161" i="3" s="1"/>
  <c r="F55" i="14"/>
  <c r="E54" i="14"/>
  <c r="I119" i="3"/>
  <c r="O10" i="3"/>
  <c r="N151" i="3"/>
  <c r="O151" i="3" s="1"/>
  <c r="N141" i="3"/>
  <c r="O141" i="3" s="1"/>
  <c r="N131" i="3"/>
  <c r="O131" i="3" s="1"/>
  <c r="N91" i="3"/>
  <c r="N11" i="3"/>
  <c r="I141" i="3"/>
  <c r="E130" i="3"/>
  <c r="R49" i="3"/>
  <c r="Q50" i="3"/>
  <c r="E80" i="3"/>
  <c r="I22" i="3"/>
  <c r="H82" i="3"/>
  <c r="H23" i="3"/>
  <c r="E89" i="14"/>
  <c r="F90" i="14"/>
  <c r="H111" i="3"/>
  <c r="D8" i="14" s="1"/>
  <c r="L21" i="3"/>
  <c r="K22" i="3"/>
  <c r="K81" i="3"/>
  <c r="D132" i="14"/>
  <c r="O21" i="3"/>
  <c r="N81" i="3"/>
  <c r="N22" i="3"/>
  <c r="H101" i="3"/>
  <c r="I91" i="3"/>
  <c r="G101" i="3"/>
  <c r="F109" i="3" l="1"/>
  <c r="F140" i="3"/>
  <c r="E109" i="3"/>
  <c r="D76" i="14"/>
  <c r="D112" i="14"/>
  <c r="D42" i="14"/>
  <c r="D99" i="3"/>
  <c r="N6" i="4" s="1"/>
  <c r="T6" i="4" s="1"/>
  <c r="E6" i="2" s="1"/>
  <c r="F9" i="3"/>
  <c r="F89" i="3"/>
  <c r="E119" i="3"/>
  <c r="I6" i="4" s="1"/>
  <c r="J6" i="4" s="1"/>
  <c r="R10" i="3"/>
  <c r="Q131" i="3"/>
  <c r="R131" i="3" s="1"/>
  <c r="Q151" i="3"/>
  <c r="R151" i="3" s="1"/>
  <c r="F77" i="14"/>
  <c r="E77" i="14" s="1"/>
  <c r="D6" i="4"/>
  <c r="E140" i="3"/>
  <c r="C7" i="4" s="1"/>
  <c r="D7" i="4" s="1"/>
  <c r="Q141" i="3"/>
  <c r="R141" i="3" s="1"/>
  <c r="O49" i="3"/>
  <c r="L99" i="3"/>
  <c r="F99" i="3" s="1"/>
  <c r="R90" i="3"/>
  <c r="Q120" i="3" s="1"/>
  <c r="R120" i="3" s="1"/>
  <c r="Q100" i="3"/>
  <c r="R100" i="3" s="1"/>
  <c r="Q11" i="3"/>
  <c r="Q132" i="3" s="1"/>
  <c r="R132" i="3" s="1"/>
  <c r="D123" i="14"/>
  <c r="E150" i="3"/>
  <c r="K100" i="3"/>
  <c r="E99" i="3"/>
  <c r="O6" i="4" s="1"/>
  <c r="J100" i="3"/>
  <c r="D100" i="3" s="1"/>
  <c r="N7" i="4" s="1"/>
  <c r="T7" i="4" s="1"/>
  <c r="E7" i="2" s="1"/>
  <c r="L10" i="3"/>
  <c r="F10" i="3" s="1"/>
  <c r="K11" i="3"/>
  <c r="K112" i="3" s="1"/>
  <c r="L112" i="3" s="1"/>
  <c r="N100" i="3"/>
  <c r="O100" i="3" s="1"/>
  <c r="N110" i="3"/>
  <c r="O110" i="3" s="1"/>
  <c r="F110" i="3" s="1"/>
  <c r="D53" i="14"/>
  <c r="K151" i="3"/>
  <c r="L151" i="3" s="1"/>
  <c r="E90" i="3"/>
  <c r="K141" i="3"/>
  <c r="L141" i="3" s="1"/>
  <c r="K91" i="3"/>
  <c r="E91" i="3" s="1"/>
  <c r="E10" i="3"/>
  <c r="F43" i="14"/>
  <c r="E43" i="14" s="1"/>
  <c r="D43" i="14" s="1"/>
  <c r="K131" i="3"/>
  <c r="L131" i="3" s="1"/>
  <c r="E81" i="3"/>
  <c r="F21" i="3"/>
  <c r="D89" i="14"/>
  <c r="F80" i="3"/>
  <c r="D133" i="14"/>
  <c r="E161" i="3"/>
  <c r="L8" i="4" s="1"/>
  <c r="M8" i="4" s="1"/>
  <c r="E20" i="14"/>
  <c r="D20" i="14" s="1"/>
  <c r="F21" i="14"/>
  <c r="I152" i="3"/>
  <c r="Q162" i="3"/>
  <c r="R162" i="3" s="1"/>
  <c r="F134" i="14"/>
  <c r="E134" i="14" s="1"/>
  <c r="R81" i="3"/>
  <c r="I162" i="3"/>
  <c r="S6" i="6"/>
  <c r="U6" i="6"/>
  <c r="C6" i="2" s="1"/>
  <c r="F161" i="3"/>
  <c r="O81" i="3"/>
  <c r="N162" i="3"/>
  <c r="O162" i="3" s="1"/>
  <c r="F99" i="14"/>
  <c r="E99" i="14" s="1"/>
  <c r="L22" i="3"/>
  <c r="K82" i="3"/>
  <c r="K23" i="3"/>
  <c r="F130" i="3"/>
  <c r="R7" i="6"/>
  <c r="R22" i="3"/>
  <c r="Q82" i="3"/>
  <c r="Q23" i="3"/>
  <c r="L51" i="3"/>
  <c r="K52" i="3"/>
  <c r="D98" i="14"/>
  <c r="N82" i="3"/>
  <c r="O22" i="3"/>
  <c r="N23" i="3"/>
  <c r="L81" i="3"/>
  <c r="F64" i="14"/>
  <c r="E64" i="14" s="1"/>
  <c r="K162" i="3"/>
  <c r="L162" i="3" s="1"/>
  <c r="N101" i="3"/>
  <c r="M101" i="3"/>
  <c r="O91" i="3"/>
  <c r="N121" i="3" s="1"/>
  <c r="O121" i="3" s="1"/>
  <c r="E22" i="3"/>
  <c r="H133" i="3"/>
  <c r="H153" i="3"/>
  <c r="H93" i="3"/>
  <c r="I12" i="3"/>
  <c r="H143" i="3"/>
  <c r="H13" i="3"/>
  <c r="D124" i="14"/>
  <c r="Q152" i="3"/>
  <c r="R152" i="3" s="1"/>
  <c r="R50" i="3"/>
  <c r="Q51" i="3"/>
  <c r="I132" i="3"/>
  <c r="I120" i="3"/>
  <c r="I23" i="3"/>
  <c r="H83" i="3"/>
  <c r="H24" i="3"/>
  <c r="F119" i="3"/>
  <c r="H121" i="3"/>
  <c r="F91" i="14"/>
  <c r="E90" i="14"/>
  <c r="N132" i="3"/>
  <c r="O132" i="3" s="1"/>
  <c r="N152" i="3"/>
  <c r="O152" i="3" s="1"/>
  <c r="N142" i="3"/>
  <c r="O142" i="3" s="1"/>
  <c r="N12" i="3"/>
  <c r="O11" i="3"/>
  <c r="N92" i="3"/>
  <c r="S6" i="4"/>
  <c r="I142" i="3"/>
  <c r="P101" i="3"/>
  <c r="Q101" i="3"/>
  <c r="R91" i="3"/>
  <c r="Q121" i="3" s="1"/>
  <c r="R121" i="3" s="1"/>
  <c r="O50" i="3"/>
  <c r="N51" i="3"/>
  <c r="N112" i="3" s="1"/>
  <c r="O112" i="3" s="1"/>
  <c r="I82" i="3"/>
  <c r="F30" i="14"/>
  <c r="E30" i="14" s="1"/>
  <c r="H163" i="3"/>
  <c r="E55" i="14"/>
  <c r="F56" i="14"/>
  <c r="I111" i="3"/>
  <c r="I51" i="3"/>
  <c r="H52" i="3"/>
  <c r="G102" i="3"/>
  <c r="H102" i="3"/>
  <c r="I92" i="3"/>
  <c r="I101" i="3"/>
  <c r="N111" i="3"/>
  <c r="O111" i="3" s="1"/>
  <c r="D63" i="14"/>
  <c r="H112" i="3"/>
  <c r="D9" i="14" s="1"/>
  <c r="D29" i="14"/>
  <c r="Q111" i="3"/>
  <c r="R11" i="3" l="1"/>
  <c r="D77" i="14"/>
  <c r="U6" i="4"/>
  <c r="F6" i="2" s="1"/>
  <c r="K152" i="3"/>
  <c r="L152" i="3" s="1"/>
  <c r="F152" i="3" s="1"/>
  <c r="E151" i="3"/>
  <c r="F151" i="3"/>
  <c r="L100" i="3"/>
  <c r="F100" i="3" s="1"/>
  <c r="F90" i="3"/>
  <c r="E120" i="3"/>
  <c r="I7" i="4" s="1"/>
  <c r="J7" i="4" s="1"/>
  <c r="J101" i="3"/>
  <c r="D101" i="3" s="1"/>
  <c r="N8" i="4" s="1"/>
  <c r="T8" i="4" s="1"/>
  <c r="F120" i="3"/>
  <c r="Q142" i="3"/>
  <c r="R142" i="3" s="1"/>
  <c r="Q12" i="3"/>
  <c r="Q93" i="3" s="1"/>
  <c r="R7" i="4"/>
  <c r="S7" i="4" s="1"/>
  <c r="Q92" i="3"/>
  <c r="Q102" i="3" s="1"/>
  <c r="F141" i="3"/>
  <c r="P6" i="4"/>
  <c r="K142" i="3"/>
  <c r="L142" i="3" s="1"/>
  <c r="E11" i="3"/>
  <c r="E141" i="3"/>
  <c r="C8" i="4" s="1"/>
  <c r="R8" i="4" s="1"/>
  <c r="D54" i="14"/>
  <c r="F44" i="14"/>
  <c r="E44" i="14" s="1"/>
  <c r="D44" i="14" s="1"/>
  <c r="L91" i="3"/>
  <c r="K121" i="3" s="1"/>
  <c r="L121" i="3" s="1"/>
  <c r="K92" i="3"/>
  <c r="K101" i="3"/>
  <c r="E100" i="3"/>
  <c r="O7" i="4" s="1"/>
  <c r="P7" i="4" s="1"/>
  <c r="L11" i="3"/>
  <c r="F11" i="3" s="1"/>
  <c r="E110" i="3"/>
  <c r="K132" i="3"/>
  <c r="L132" i="3" s="1"/>
  <c r="K12" i="3"/>
  <c r="D55" i="14" s="1"/>
  <c r="E131" i="3"/>
  <c r="F131" i="3" s="1"/>
  <c r="E111" i="3"/>
  <c r="E82" i="3"/>
  <c r="D78" i="14"/>
  <c r="D134" i="14"/>
  <c r="F81" i="3"/>
  <c r="D30" i="14"/>
  <c r="F22" i="3"/>
  <c r="R101" i="3"/>
  <c r="D99" i="14"/>
  <c r="E162" i="3"/>
  <c r="L9" i="4" s="1"/>
  <c r="M9" i="4" s="1"/>
  <c r="I52" i="3"/>
  <c r="H53" i="3"/>
  <c r="H114" i="3" s="1"/>
  <c r="O12" i="3"/>
  <c r="N133" i="3"/>
  <c r="O133" i="3" s="1"/>
  <c r="N153" i="3"/>
  <c r="O153" i="3" s="1"/>
  <c r="N93" i="3"/>
  <c r="N143" i="3"/>
  <c r="O143" i="3" s="1"/>
  <c r="N13" i="3"/>
  <c r="I121" i="3"/>
  <c r="I93" i="3"/>
  <c r="H103" i="3"/>
  <c r="G103" i="3"/>
  <c r="E21" i="14"/>
  <c r="D21" i="14" s="1"/>
  <c r="F22" i="14"/>
  <c r="I112" i="3"/>
  <c r="I163" i="3"/>
  <c r="I153" i="3"/>
  <c r="O82" i="3"/>
  <c r="N163" i="3"/>
  <c r="O163" i="3" s="1"/>
  <c r="F100" i="14"/>
  <c r="E100" i="14" s="1"/>
  <c r="S7" i="6"/>
  <c r="U7" i="6"/>
  <c r="V7" i="6" s="1"/>
  <c r="F162" i="3"/>
  <c r="O23" i="3"/>
  <c r="N83" i="3"/>
  <c r="N24" i="3"/>
  <c r="I24" i="3"/>
  <c r="H25" i="3"/>
  <c r="H84" i="3"/>
  <c r="D6" i="2"/>
  <c r="R23" i="3"/>
  <c r="Q83" i="3"/>
  <c r="Q24" i="3"/>
  <c r="I102" i="3"/>
  <c r="R12" i="3"/>
  <c r="Q133" i="3"/>
  <c r="R133" i="3" s="1"/>
  <c r="H134" i="3"/>
  <c r="H144" i="3"/>
  <c r="H94" i="3"/>
  <c r="I13" i="3"/>
  <c r="H14" i="3"/>
  <c r="H154" i="3"/>
  <c r="R82" i="3"/>
  <c r="Q163" i="3"/>
  <c r="R163" i="3" s="1"/>
  <c r="F135" i="14"/>
  <c r="E135" i="14" s="1"/>
  <c r="L23" i="3"/>
  <c r="K83" i="3"/>
  <c r="K24" i="3"/>
  <c r="H113" i="3"/>
  <c r="R111" i="3"/>
  <c r="F111" i="3" s="1"/>
  <c r="D113" i="14"/>
  <c r="O51" i="3"/>
  <c r="N52" i="3"/>
  <c r="F80" i="14" s="1"/>
  <c r="E80" i="14" s="1"/>
  <c r="F79" i="14"/>
  <c r="E79" i="14" s="1"/>
  <c r="D79" i="14" s="1"/>
  <c r="E23" i="3"/>
  <c r="D8" i="4"/>
  <c r="F10" i="14"/>
  <c r="E10" i="14" s="1"/>
  <c r="D64" i="14"/>
  <c r="K163" i="3"/>
  <c r="L163" i="3" s="1"/>
  <c r="F65" i="14"/>
  <c r="E65" i="14" s="1"/>
  <c r="L82" i="3"/>
  <c r="E56" i="14"/>
  <c r="F57" i="14"/>
  <c r="E91" i="14"/>
  <c r="F92" i="14"/>
  <c r="I133" i="3"/>
  <c r="H122" i="3"/>
  <c r="I83" i="3"/>
  <c r="H164" i="3"/>
  <c r="F31" i="14"/>
  <c r="E31" i="14" s="1"/>
  <c r="O101" i="3"/>
  <c r="O92" i="3"/>
  <c r="N122" i="3" s="1"/>
  <c r="O122" i="3" s="1"/>
  <c r="M102" i="3"/>
  <c r="N102" i="3"/>
  <c r="D90" i="14"/>
  <c r="R51" i="3"/>
  <c r="Q52" i="3"/>
  <c r="Q113" i="3" s="1"/>
  <c r="Q112" i="3"/>
  <c r="E112" i="3" s="1"/>
  <c r="I143" i="3"/>
  <c r="L52" i="3"/>
  <c r="K53" i="3"/>
  <c r="V6" i="6"/>
  <c r="E152" i="3"/>
  <c r="V6" i="4" l="1"/>
  <c r="E12" i="3"/>
  <c r="Q153" i="3"/>
  <c r="R153" i="3" s="1"/>
  <c r="Q13" i="3"/>
  <c r="K93" i="3"/>
  <c r="E93" i="3" s="1"/>
  <c r="L12" i="3"/>
  <c r="D125" i="14"/>
  <c r="F45" i="14"/>
  <c r="E45" i="14" s="1"/>
  <c r="Q143" i="3"/>
  <c r="R143" i="3" s="1"/>
  <c r="F143" i="3" s="1"/>
  <c r="F142" i="3"/>
  <c r="K143" i="3"/>
  <c r="L143" i="3" s="1"/>
  <c r="E132" i="3"/>
  <c r="L101" i="3"/>
  <c r="F101" i="3" s="1"/>
  <c r="U7" i="4"/>
  <c r="F7" i="2" s="1"/>
  <c r="G7" i="2" s="1"/>
  <c r="J7" i="2" s="1"/>
  <c r="E142" i="3"/>
  <c r="C9" i="4" s="1"/>
  <c r="R9" i="4" s="1"/>
  <c r="E92" i="3"/>
  <c r="R92" i="3"/>
  <c r="Q122" i="3" s="1"/>
  <c r="R122" i="3" s="1"/>
  <c r="P102" i="3"/>
  <c r="R102" i="3" s="1"/>
  <c r="L92" i="3"/>
  <c r="K122" i="3" s="1"/>
  <c r="L122" i="3" s="1"/>
  <c r="R8" i="6"/>
  <c r="S8" i="6" s="1"/>
  <c r="K102" i="3"/>
  <c r="F121" i="3"/>
  <c r="E121" i="3"/>
  <c r="I8" i="4" s="1"/>
  <c r="J8" i="4" s="1"/>
  <c r="F91" i="3"/>
  <c r="J102" i="3"/>
  <c r="K133" i="3"/>
  <c r="L133" i="3" s="1"/>
  <c r="K113" i="3"/>
  <c r="L113" i="3" s="1"/>
  <c r="E101" i="3"/>
  <c r="O8" i="4" s="1"/>
  <c r="P8" i="4" s="1"/>
  <c r="K153" i="3"/>
  <c r="L153" i="3" s="1"/>
  <c r="F153" i="3" s="1"/>
  <c r="K13" i="3"/>
  <c r="E13" i="3" s="1"/>
  <c r="F12" i="3"/>
  <c r="F23" i="3"/>
  <c r="E83" i="3"/>
  <c r="F82" i="3"/>
  <c r="C7" i="2"/>
  <c r="D7" i="2" s="1"/>
  <c r="I7" i="2" s="1"/>
  <c r="D91" i="14"/>
  <c r="N113" i="3"/>
  <c r="O113" i="3" s="1"/>
  <c r="O102" i="3"/>
  <c r="D135" i="14"/>
  <c r="D31" i="14"/>
  <c r="D65" i="14"/>
  <c r="D115" i="14"/>
  <c r="R113" i="3"/>
  <c r="I154" i="3"/>
  <c r="I122" i="3"/>
  <c r="I113" i="3"/>
  <c r="H95" i="3"/>
  <c r="H155" i="3"/>
  <c r="H145" i="3"/>
  <c r="H15" i="3"/>
  <c r="H135" i="3"/>
  <c r="I14" i="3"/>
  <c r="P103" i="3"/>
  <c r="R93" i="3"/>
  <c r="Q123" i="3" s="1"/>
  <c r="R123" i="3" s="1"/>
  <c r="Q103" i="3"/>
  <c r="L53" i="3"/>
  <c r="K54" i="3"/>
  <c r="E92" i="14"/>
  <c r="F93" i="14"/>
  <c r="E93" i="14" s="1"/>
  <c r="O24" i="3"/>
  <c r="N25" i="3"/>
  <c r="N84" i="3"/>
  <c r="F163" i="3"/>
  <c r="I103" i="3"/>
  <c r="N134" i="3"/>
  <c r="O134" i="3" s="1"/>
  <c r="N94" i="3"/>
  <c r="O13" i="3"/>
  <c r="N144" i="3"/>
  <c r="O144" i="3" s="1"/>
  <c r="N154" i="3"/>
  <c r="O154" i="3" s="1"/>
  <c r="N14" i="3"/>
  <c r="E8" i="2"/>
  <c r="Q164" i="3"/>
  <c r="R164" i="3" s="1"/>
  <c r="R83" i="3"/>
  <c r="F136" i="14"/>
  <c r="E136" i="14" s="1"/>
  <c r="U8" i="6"/>
  <c r="C8" i="2" s="1"/>
  <c r="D8" i="2" s="1"/>
  <c r="I8" i="2" s="1"/>
  <c r="O52" i="3"/>
  <c r="N53" i="3"/>
  <c r="F81" i="14" s="1"/>
  <c r="E81" i="14" s="1"/>
  <c r="I114" i="3"/>
  <c r="I6" i="2"/>
  <c r="E163" i="3"/>
  <c r="L10" i="4" s="1"/>
  <c r="H123" i="3"/>
  <c r="I53" i="3"/>
  <c r="H54" i="3"/>
  <c r="H115" i="3" s="1"/>
  <c r="F132" i="3"/>
  <c r="R9" i="6"/>
  <c r="S8" i="4"/>
  <c r="G104" i="3"/>
  <c r="I94" i="3"/>
  <c r="H104" i="3"/>
  <c r="B10" i="31"/>
  <c r="L24" i="3"/>
  <c r="K84" i="3"/>
  <c r="K25" i="3"/>
  <c r="I144" i="3"/>
  <c r="K114" i="3"/>
  <c r="L114" i="3" s="1"/>
  <c r="K144" i="3"/>
  <c r="L144" i="3" s="1"/>
  <c r="K154" i="3"/>
  <c r="L154" i="3" s="1"/>
  <c r="I25" i="3"/>
  <c r="H85" i="3"/>
  <c r="I134" i="3"/>
  <c r="N164" i="3"/>
  <c r="O164" i="3" s="1"/>
  <c r="O83" i="3"/>
  <c r="F101" i="14"/>
  <c r="E101" i="14" s="1"/>
  <c r="E57" i="14"/>
  <c r="F58" i="14"/>
  <c r="E58" i="14" s="1"/>
  <c r="M103" i="3"/>
  <c r="N103" i="3"/>
  <c r="O93" i="3"/>
  <c r="N123" i="3" s="1"/>
  <c r="O123" i="3" s="1"/>
  <c r="E143" i="3"/>
  <c r="C10" i="4" s="1"/>
  <c r="I164" i="3"/>
  <c r="G6" i="2"/>
  <c r="F66" i="14"/>
  <c r="E66" i="14" s="1"/>
  <c r="L83" i="3"/>
  <c r="K164" i="3"/>
  <c r="L164" i="3" s="1"/>
  <c r="F23" i="14"/>
  <c r="E23" i="14" s="1"/>
  <c r="E22" i="14"/>
  <c r="D22" i="14" s="1"/>
  <c r="Q53" i="3"/>
  <c r="Q114" i="3" s="1"/>
  <c r="R52" i="3"/>
  <c r="D126" i="14"/>
  <c r="Q134" i="3"/>
  <c r="R134" i="3" s="1"/>
  <c r="R13" i="3"/>
  <c r="Q144" i="3"/>
  <c r="R144" i="3" s="1"/>
  <c r="Q94" i="3"/>
  <c r="Q154" i="3"/>
  <c r="R154" i="3" s="1"/>
  <c r="Q14" i="3"/>
  <c r="F32" i="14"/>
  <c r="E32" i="14" s="1"/>
  <c r="H165" i="3"/>
  <c r="I84" i="3"/>
  <c r="D114" i="14"/>
  <c r="R112" i="3"/>
  <c r="F112" i="3" s="1"/>
  <c r="D10" i="14"/>
  <c r="F11" i="14"/>
  <c r="E11" i="14" s="1"/>
  <c r="D11" i="14" s="1"/>
  <c r="R24" i="3"/>
  <c r="Q84" i="3"/>
  <c r="Q25" i="3"/>
  <c r="E24" i="3"/>
  <c r="D100" i="14"/>
  <c r="K103" i="3" l="1"/>
  <c r="J103" i="3"/>
  <c r="L93" i="3"/>
  <c r="K123" i="3" s="1"/>
  <c r="L123" i="3" s="1"/>
  <c r="D9" i="4"/>
  <c r="K134" i="3"/>
  <c r="L134" i="3" s="1"/>
  <c r="V7" i="4"/>
  <c r="B11" i="31" s="1"/>
  <c r="D45" i="14"/>
  <c r="L102" i="3"/>
  <c r="F102" i="3" s="1"/>
  <c r="F122" i="3"/>
  <c r="F92" i="3"/>
  <c r="E122" i="3"/>
  <c r="I9" i="4" s="1"/>
  <c r="J9" i="4" s="1"/>
  <c r="E102" i="3"/>
  <c r="O9" i="4" s="1"/>
  <c r="D102" i="3"/>
  <c r="N9" i="4" s="1"/>
  <c r="T9" i="4" s="1"/>
  <c r="E9" i="2" s="1"/>
  <c r="F46" i="14"/>
  <c r="E46" i="14" s="1"/>
  <c r="D46" i="14" s="1"/>
  <c r="L13" i="3"/>
  <c r="F13" i="3" s="1"/>
  <c r="E133" i="3"/>
  <c r="F133" i="3" s="1"/>
  <c r="K14" i="3"/>
  <c r="F47" i="14" s="1"/>
  <c r="E47" i="14" s="1"/>
  <c r="K94" i="3"/>
  <c r="J104" i="3" s="1"/>
  <c r="U8" i="4"/>
  <c r="F8" i="2" s="1"/>
  <c r="E153" i="3"/>
  <c r="D56" i="14"/>
  <c r="N114" i="3"/>
  <c r="O114" i="3" s="1"/>
  <c r="F154" i="3"/>
  <c r="E113" i="3"/>
  <c r="E25" i="3"/>
  <c r="D80" i="14"/>
  <c r="D23" i="14"/>
  <c r="D136" i="14"/>
  <c r="E154" i="3"/>
  <c r="E84" i="3"/>
  <c r="F24" i="3"/>
  <c r="F12" i="14"/>
  <c r="E12" i="14" s="1"/>
  <c r="D12" i="14" s="1"/>
  <c r="F113" i="3"/>
  <c r="D101" i="14"/>
  <c r="F83" i="3"/>
  <c r="D103" i="3"/>
  <c r="N10" i="4" s="1"/>
  <c r="T10" i="4" s="1"/>
  <c r="E10" i="2" s="1"/>
  <c r="O103" i="3"/>
  <c r="D66" i="14"/>
  <c r="E164" i="3"/>
  <c r="L11" i="4" s="1"/>
  <c r="M11" i="4" s="1"/>
  <c r="I115" i="3"/>
  <c r="Q54" i="3"/>
  <c r="R53" i="3"/>
  <c r="E134" i="3"/>
  <c r="I85" i="3"/>
  <c r="H166" i="3"/>
  <c r="F33" i="14"/>
  <c r="E33" i="14" s="1"/>
  <c r="O14" i="3"/>
  <c r="N145" i="3"/>
  <c r="O145" i="3" s="1"/>
  <c r="N155" i="3"/>
  <c r="O155" i="3" s="1"/>
  <c r="N95" i="3"/>
  <c r="N15" i="3"/>
  <c r="D93" i="14" s="1"/>
  <c r="N135" i="3"/>
  <c r="O135" i="3" s="1"/>
  <c r="E103" i="3"/>
  <c r="O10" i="4" s="1"/>
  <c r="L54" i="3"/>
  <c r="K55" i="3"/>
  <c r="L55" i="3" s="1"/>
  <c r="R25" i="3"/>
  <c r="Q85" i="3"/>
  <c r="D32" i="14"/>
  <c r="J6" i="2"/>
  <c r="S9" i="6"/>
  <c r="U9" i="6"/>
  <c r="V9" i="6" s="1"/>
  <c r="V8" i="6"/>
  <c r="R84" i="3"/>
  <c r="Q165" i="3"/>
  <c r="R165" i="3" s="1"/>
  <c r="F137" i="14"/>
  <c r="E137" i="14" s="1"/>
  <c r="I104" i="3"/>
  <c r="I54" i="3"/>
  <c r="H55" i="3"/>
  <c r="I55" i="3" s="1"/>
  <c r="F164" i="3"/>
  <c r="F144" i="3"/>
  <c r="H124" i="3"/>
  <c r="O53" i="3"/>
  <c r="N54" i="3"/>
  <c r="I145" i="3"/>
  <c r="I165" i="3"/>
  <c r="P104" i="3"/>
  <c r="R94" i="3"/>
  <c r="Q124" i="3" s="1"/>
  <c r="R124" i="3" s="1"/>
  <c r="Q104" i="3"/>
  <c r="F67" i="14"/>
  <c r="E67" i="14" s="1"/>
  <c r="L84" i="3"/>
  <c r="K165" i="3"/>
  <c r="L165" i="3" s="1"/>
  <c r="M10" i="4"/>
  <c r="I135" i="3"/>
  <c r="C10" i="31"/>
  <c r="S9" i="4"/>
  <c r="H156" i="3"/>
  <c r="I15" i="3"/>
  <c r="H136" i="3"/>
  <c r="H96" i="3"/>
  <c r="H146" i="3"/>
  <c r="Q95" i="3"/>
  <c r="R14" i="3"/>
  <c r="D127" i="14"/>
  <c r="Q155" i="3"/>
  <c r="R155" i="3" s="1"/>
  <c r="Q135" i="3"/>
  <c r="R135" i="3" s="1"/>
  <c r="Q145" i="3"/>
  <c r="R145" i="3" s="1"/>
  <c r="Q15" i="3"/>
  <c r="R10" i="6"/>
  <c r="D10" i="4"/>
  <c r="R10" i="4"/>
  <c r="E144" i="3"/>
  <c r="C11" i="4" s="1"/>
  <c r="E94" i="3"/>
  <c r="I123" i="3"/>
  <c r="N104" i="3"/>
  <c r="M104" i="3"/>
  <c r="O94" i="3"/>
  <c r="N124" i="3" s="1"/>
  <c r="O124" i="3" s="1"/>
  <c r="O84" i="3"/>
  <c r="N165" i="3"/>
  <c r="O165" i="3" s="1"/>
  <c r="F102" i="14"/>
  <c r="E102" i="14" s="1"/>
  <c r="I155" i="3"/>
  <c r="R114" i="3"/>
  <c r="D116" i="14"/>
  <c r="K145" i="3"/>
  <c r="L145" i="3" s="1"/>
  <c r="K115" i="3"/>
  <c r="L115" i="3" s="1"/>
  <c r="L25" i="3"/>
  <c r="K85" i="3"/>
  <c r="F93" i="3"/>
  <c r="O25" i="3"/>
  <c r="N85" i="3"/>
  <c r="D92" i="14"/>
  <c r="R103" i="3"/>
  <c r="G105" i="3"/>
  <c r="H105" i="3"/>
  <c r="I95" i="3"/>
  <c r="L103" i="3" l="1"/>
  <c r="D81" i="14"/>
  <c r="E123" i="3"/>
  <c r="I10" i="4" s="1"/>
  <c r="K155" i="3"/>
  <c r="L155" i="3" s="1"/>
  <c r="D57" i="14"/>
  <c r="K135" i="3"/>
  <c r="L135" i="3" s="1"/>
  <c r="K15" i="3"/>
  <c r="E15" i="3" s="1"/>
  <c r="U9" i="4"/>
  <c r="V9" i="4" s="1"/>
  <c r="B13" i="31" s="1"/>
  <c r="E114" i="3"/>
  <c r="F114" i="3"/>
  <c r="P9" i="4"/>
  <c r="E14" i="3"/>
  <c r="K95" i="3"/>
  <c r="J105" i="3" s="1"/>
  <c r="L94" i="3"/>
  <c r="K124" i="3" s="1"/>
  <c r="L124" i="3" s="1"/>
  <c r="K104" i="3"/>
  <c r="E104" i="3" s="1"/>
  <c r="O11" i="4" s="1"/>
  <c r="L14" i="3"/>
  <c r="F14" i="3" s="1"/>
  <c r="V8" i="4"/>
  <c r="B12" i="31" s="1"/>
  <c r="D102" i="14"/>
  <c r="D33" i="14"/>
  <c r="E85" i="3"/>
  <c r="F84" i="3"/>
  <c r="P10" i="4"/>
  <c r="H116" i="3"/>
  <c r="I116" i="3" s="1"/>
  <c r="E165" i="3"/>
  <c r="L12" i="4" s="1"/>
  <c r="M12" i="4" s="1"/>
  <c r="F25" i="3"/>
  <c r="F103" i="3"/>
  <c r="F13" i="14"/>
  <c r="E13" i="14" s="1"/>
  <c r="R104" i="3"/>
  <c r="D104" i="3"/>
  <c r="N11" i="4" s="1"/>
  <c r="T11" i="4" s="1"/>
  <c r="E11" i="2" s="1"/>
  <c r="O104" i="3"/>
  <c r="C9" i="2"/>
  <c r="O54" i="3"/>
  <c r="N55" i="3"/>
  <c r="O55" i="3" s="1"/>
  <c r="F82" i="14"/>
  <c r="E82" i="14" s="1"/>
  <c r="H125" i="3"/>
  <c r="D47" i="14"/>
  <c r="S10" i="4"/>
  <c r="H106" i="3"/>
  <c r="G106" i="3"/>
  <c r="I96" i="3"/>
  <c r="F134" i="3"/>
  <c r="R11" i="6"/>
  <c r="O85" i="3"/>
  <c r="F103" i="14"/>
  <c r="E103" i="14" s="1"/>
  <c r="N166" i="3"/>
  <c r="O166" i="3" s="1"/>
  <c r="N105" i="3"/>
  <c r="M105" i="3"/>
  <c r="O95" i="3"/>
  <c r="N125" i="3" s="1"/>
  <c r="O125" i="3" s="1"/>
  <c r="I146" i="3"/>
  <c r="P17" i="20" s="1"/>
  <c r="K136" i="3"/>
  <c r="L136" i="3" s="1"/>
  <c r="K146" i="3"/>
  <c r="L146" i="3" s="1"/>
  <c r="F48" i="14"/>
  <c r="E48" i="14" s="1"/>
  <c r="K96" i="3"/>
  <c r="I124" i="3"/>
  <c r="J10" i="4"/>
  <c r="U10" i="4"/>
  <c r="I136" i="3"/>
  <c r="R54" i="3"/>
  <c r="Q55" i="3"/>
  <c r="R55" i="3" s="1"/>
  <c r="G8" i="2"/>
  <c r="F123" i="3"/>
  <c r="Q115" i="3"/>
  <c r="F145" i="3"/>
  <c r="D137" i="14"/>
  <c r="R85" i="3"/>
  <c r="F138" i="14"/>
  <c r="E138" i="14" s="1"/>
  <c r="Q166" i="3"/>
  <c r="R166" i="3" s="1"/>
  <c r="I105" i="3"/>
  <c r="F155" i="3"/>
  <c r="U10" i="6"/>
  <c r="V10" i="6" s="1"/>
  <c r="S10" i="6"/>
  <c r="C11" i="31"/>
  <c r="K166" i="3"/>
  <c r="L166" i="3" s="1"/>
  <c r="L85" i="3"/>
  <c r="F68" i="14"/>
  <c r="E68" i="14" s="1"/>
  <c r="Q146" i="3"/>
  <c r="R146" i="3" s="1"/>
  <c r="Q156" i="3"/>
  <c r="R156" i="3" s="1"/>
  <c r="Q136" i="3"/>
  <c r="R136" i="3" s="1"/>
  <c r="R15" i="3"/>
  <c r="D128" i="14"/>
  <c r="Q96" i="3"/>
  <c r="E145" i="3"/>
  <c r="C12" i="4" s="1"/>
  <c r="N115" i="3"/>
  <c r="O115" i="3" s="1"/>
  <c r="D11" i="4"/>
  <c r="R11" i="4"/>
  <c r="F165" i="3"/>
  <c r="E155" i="3"/>
  <c r="Q105" i="3"/>
  <c r="R95" i="3"/>
  <c r="Q125" i="3" s="1"/>
  <c r="R125" i="3" s="1"/>
  <c r="P105" i="3"/>
  <c r="K6" i="2"/>
  <c r="I156" i="3"/>
  <c r="E135" i="3"/>
  <c r="D67" i="14"/>
  <c r="O15" i="3"/>
  <c r="N136" i="3"/>
  <c r="O136" i="3" s="1"/>
  <c r="N96" i="3"/>
  <c r="N146" i="3"/>
  <c r="O146" i="3" s="1"/>
  <c r="N156" i="3"/>
  <c r="O156" i="3" s="1"/>
  <c r="I166" i="3"/>
  <c r="F9" i="2" l="1"/>
  <c r="G9" i="2" s="1"/>
  <c r="J9" i="2" s="1"/>
  <c r="K156" i="3"/>
  <c r="L156" i="3" s="1"/>
  <c r="K116" i="3"/>
  <c r="L116" i="3" s="1"/>
  <c r="Q22" i="20" s="1"/>
  <c r="D58" i="14"/>
  <c r="L15" i="3"/>
  <c r="K105" i="3"/>
  <c r="L105" i="3" s="1"/>
  <c r="F94" i="3"/>
  <c r="E95" i="3"/>
  <c r="E124" i="3"/>
  <c r="I11" i="4" s="1"/>
  <c r="J11" i="4" s="1"/>
  <c r="L104" i="3"/>
  <c r="F104" i="3" s="1"/>
  <c r="F124" i="3"/>
  <c r="L95" i="3"/>
  <c r="K125" i="3" s="1"/>
  <c r="L125" i="3" s="1"/>
  <c r="N116" i="3"/>
  <c r="O116" i="3" s="1"/>
  <c r="R22" i="20" s="1"/>
  <c r="D13" i="14"/>
  <c r="F15" i="3"/>
  <c r="F85" i="3"/>
  <c r="Q116" i="3"/>
  <c r="R116" i="3" s="1"/>
  <c r="F166" i="3"/>
  <c r="D105" i="3"/>
  <c r="N12" i="4" s="1"/>
  <c r="T12" i="4" s="1"/>
  <c r="E12" i="2" s="1"/>
  <c r="O105" i="3"/>
  <c r="P11" i="4"/>
  <c r="E115" i="3"/>
  <c r="J8" i="2"/>
  <c r="E4" i="20"/>
  <c r="E3" i="20" s="1"/>
  <c r="Q4" i="20"/>
  <c r="Q3" i="20" s="1"/>
  <c r="C10" i="2"/>
  <c r="D10" i="2" s="1"/>
  <c r="I10" i="2" s="1"/>
  <c r="E166" i="3"/>
  <c r="L13" i="4" s="1"/>
  <c r="S11" i="4"/>
  <c r="D68" i="14"/>
  <c r="D9" i="2"/>
  <c r="D12" i="4"/>
  <c r="R12" i="4"/>
  <c r="V10" i="4"/>
  <c r="F10" i="2"/>
  <c r="P16" i="20"/>
  <c r="P106" i="3"/>
  <c r="Q106" i="3"/>
  <c r="R96" i="3"/>
  <c r="Q126" i="3" s="1"/>
  <c r="R126" i="3" s="1"/>
  <c r="P22" i="20"/>
  <c r="D138" i="14"/>
  <c r="D117" i="14"/>
  <c r="R115" i="3"/>
  <c r="F115" i="3" s="1"/>
  <c r="F146" i="3"/>
  <c r="D17" i="20"/>
  <c r="F23" i="20"/>
  <c r="R23" i="20"/>
  <c r="H126" i="3"/>
  <c r="I125" i="3"/>
  <c r="F156" i="3"/>
  <c r="D23" i="20"/>
  <c r="C12" i="31"/>
  <c r="K106" i="3"/>
  <c r="J106" i="3"/>
  <c r="L96" i="3"/>
  <c r="K126" i="3" s="1"/>
  <c r="L126" i="3" s="1"/>
  <c r="E146" i="3"/>
  <c r="C13" i="4" s="1"/>
  <c r="D103" i="14"/>
  <c r="Q17" i="20"/>
  <c r="Q16" i="20" s="1"/>
  <c r="E17" i="20"/>
  <c r="E16" i="20" s="1"/>
  <c r="S11" i="6"/>
  <c r="U11" i="6"/>
  <c r="V11" i="6" s="1"/>
  <c r="F135" i="3"/>
  <c r="R12" i="6"/>
  <c r="E156" i="3"/>
  <c r="P23" i="20"/>
  <c r="E23" i="20"/>
  <c r="Q23" i="20"/>
  <c r="F83" i="14"/>
  <c r="E83" i="14" s="1"/>
  <c r="M106" i="3"/>
  <c r="N106" i="3"/>
  <c r="O96" i="3"/>
  <c r="N126" i="3" s="1"/>
  <c r="O126" i="3" s="1"/>
  <c r="G4" i="20"/>
  <c r="G3" i="20" s="1"/>
  <c r="S4" i="20"/>
  <c r="S3" i="20" s="1"/>
  <c r="E136" i="3"/>
  <c r="I106" i="3"/>
  <c r="D82" i="14"/>
  <c r="L6" i="2"/>
  <c r="K7" i="2"/>
  <c r="S17" i="20"/>
  <c r="S16" i="20" s="1"/>
  <c r="G17" i="20"/>
  <c r="G16" i="20" s="1"/>
  <c r="S23" i="20"/>
  <c r="G23" i="20"/>
  <c r="R17" i="20"/>
  <c r="R16" i="20" s="1"/>
  <c r="F17" i="20"/>
  <c r="F16" i="20" s="1"/>
  <c r="F4" i="20"/>
  <c r="F3" i="20" s="1"/>
  <c r="R4" i="20"/>
  <c r="R3" i="20" s="1"/>
  <c r="R105" i="3"/>
  <c r="P4" i="20"/>
  <c r="D4" i="20"/>
  <c r="D48" i="14"/>
  <c r="E96" i="3"/>
  <c r="E105" i="3" l="1"/>
  <c r="O12" i="4" s="1"/>
  <c r="F116" i="3"/>
  <c r="E125" i="3"/>
  <c r="I12" i="4" s="1"/>
  <c r="U12" i="4" s="1"/>
  <c r="D83" i="14"/>
  <c r="U11" i="4"/>
  <c r="F11" i="2" s="1"/>
  <c r="G11" i="2" s="1"/>
  <c r="J11" i="2" s="1"/>
  <c r="F95" i="3"/>
  <c r="F125" i="3"/>
  <c r="D118" i="14"/>
  <c r="L7" i="2"/>
  <c r="E116" i="3"/>
  <c r="P12" i="4"/>
  <c r="F105" i="3"/>
  <c r="D106" i="3"/>
  <c r="N13" i="4" s="1"/>
  <c r="N14" i="4" s="1"/>
  <c r="F96" i="3"/>
  <c r="O106" i="3"/>
  <c r="F21" i="20" s="1"/>
  <c r="U23" i="20"/>
  <c r="L106" i="3"/>
  <c r="U17" i="20"/>
  <c r="E106" i="3"/>
  <c r="O13" i="4" s="1"/>
  <c r="R20" i="20"/>
  <c r="F20" i="20"/>
  <c r="S12" i="6"/>
  <c r="U12" i="6"/>
  <c r="E126" i="3"/>
  <c r="I13" i="4" s="1"/>
  <c r="I126" i="3"/>
  <c r="U16" i="20"/>
  <c r="I9" i="2"/>
  <c r="P21" i="20"/>
  <c r="D21" i="20"/>
  <c r="G10" i="2"/>
  <c r="R13" i="6"/>
  <c r="F136" i="3"/>
  <c r="S22" i="20"/>
  <c r="U22" i="20" s="1"/>
  <c r="C11" i="2"/>
  <c r="D11" i="2" s="1"/>
  <c r="I11" i="2" s="1"/>
  <c r="K8" i="2"/>
  <c r="K9" i="2" s="1"/>
  <c r="D3" i="20"/>
  <c r="I3" i="20" s="1"/>
  <c r="I4" i="20"/>
  <c r="D13" i="4"/>
  <c r="D15" i="4" s="1"/>
  <c r="R13" i="4"/>
  <c r="C14" i="4"/>
  <c r="I23" i="20"/>
  <c r="I17" i="20"/>
  <c r="D16" i="20"/>
  <c r="G20" i="20"/>
  <c r="S20" i="20"/>
  <c r="C13" i="31"/>
  <c r="B14" i="31"/>
  <c r="P3" i="20"/>
  <c r="U3" i="20" s="1"/>
  <c r="U4" i="20"/>
  <c r="Q20" i="20"/>
  <c r="E20" i="20"/>
  <c r="R106" i="3"/>
  <c r="S12" i="4"/>
  <c r="M13" i="4"/>
  <c r="L14" i="4"/>
  <c r="J12" i="4" l="1"/>
  <c r="V11" i="4"/>
  <c r="B15" i="31" s="1"/>
  <c r="T13" i="4"/>
  <c r="T14" i="4" s="1"/>
  <c r="R21" i="20"/>
  <c r="R19" i="20" s="1"/>
  <c r="R15" i="20" s="1"/>
  <c r="L8" i="2"/>
  <c r="L9" i="2" s="1"/>
  <c r="F19" i="20"/>
  <c r="F15" i="20" s="1"/>
  <c r="Q21" i="20"/>
  <c r="Q19" i="20" s="1"/>
  <c r="Q15" i="20" s="1"/>
  <c r="E21" i="20"/>
  <c r="E19" i="20" s="1"/>
  <c r="E15" i="20" s="1"/>
  <c r="C14" i="31"/>
  <c r="S13" i="6"/>
  <c r="U13" i="6"/>
  <c r="V13" i="6" s="1"/>
  <c r="R14" i="6"/>
  <c r="V12" i="4"/>
  <c r="B16" i="31" s="1"/>
  <c r="F12" i="2"/>
  <c r="S13" i="4"/>
  <c r="R14" i="4"/>
  <c r="P13" i="4"/>
  <c r="O14" i="4"/>
  <c r="D14" i="4"/>
  <c r="V12" i="6"/>
  <c r="M15" i="4"/>
  <c r="M14" i="4"/>
  <c r="J10" i="2"/>
  <c r="C12" i="2"/>
  <c r="D12" i="2" s="1"/>
  <c r="F106" i="3"/>
  <c r="J13" i="4"/>
  <c r="U13" i="4"/>
  <c r="I14" i="4"/>
  <c r="S21" i="20"/>
  <c r="G21" i="20"/>
  <c r="G19" i="20" s="1"/>
  <c r="G15" i="20" s="1"/>
  <c r="I16" i="20"/>
  <c r="F126" i="3"/>
  <c r="P20" i="20"/>
  <c r="D20" i="20"/>
  <c r="E13" i="2" l="1"/>
  <c r="E14" i="2" s="1"/>
  <c r="U21" i="20"/>
  <c r="I21" i="20"/>
  <c r="P19" i="20"/>
  <c r="U20" i="20"/>
  <c r="V15" i="6"/>
  <c r="V14" i="6"/>
  <c r="B3" i="31" s="1"/>
  <c r="C3" i="31" s="1"/>
  <c r="C15" i="31"/>
  <c r="U14" i="6"/>
  <c r="I12" i="2"/>
  <c r="G12" i="2"/>
  <c r="D19" i="20"/>
  <c r="I20" i="20"/>
  <c r="S19" i="20"/>
  <c r="S15" i="20" s="1"/>
  <c r="S14" i="6"/>
  <c r="S15" i="6"/>
  <c r="S14" i="4"/>
  <c r="S15" i="4"/>
  <c r="F13" i="2"/>
  <c r="V13" i="4"/>
  <c r="U14" i="4"/>
  <c r="J14" i="4"/>
  <c r="J15" i="4"/>
  <c r="K10" i="2"/>
  <c r="P14" i="4"/>
  <c r="P15" i="4"/>
  <c r="C13" i="2"/>
  <c r="G13" i="2" l="1"/>
  <c r="J13" i="2" s="1"/>
  <c r="D13" i="2"/>
  <c r="C14" i="2"/>
  <c r="I19" i="20"/>
  <c r="D15" i="20"/>
  <c r="I15" i="20" s="1"/>
  <c r="C16" i="31"/>
  <c r="D8" i="31"/>
  <c r="D9" i="31" s="1"/>
  <c r="J12" i="2"/>
  <c r="K11" i="2"/>
  <c r="L10" i="2"/>
  <c r="B17" i="31"/>
  <c r="B18" i="31" s="1"/>
  <c r="V15" i="4"/>
  <c r="J17" i="2" s="1"/>
  <c r="B2" i="7" s="1"/>
  <c r="V14" i="4"/>
  <c r="F14" i="2"/>
  <c r="U19" i="20"/>
  <c r="P15" i="20"/>
  <c r="U15" i="20" s="1"/>
  <c r="G14" i="2" l="1"/>
  <c r="J19" i="2"/>
  <c r="L11" i="2"/>
  <c r="K12" i="2"/>
  <c r="K13" i="2" s="1"/>
  <c r="J14" i="2"/>
  <c r="R7" i="7"/>
  <c r="L7" i="7"/>
  <c r="C26" i="7"/>
  <c r="C42" i="7"/>
  <c r="O7" i="7"/>
  <c r="F7" i="7"/>
  <c r="C7" i="7"/>
  <c r="I7" i="7"/>
  <c r="D10" i="31"/>
  <c r="I13" i="2"/>
  <c r="I14" i="2" s="1"/>
  <c r="J21" i="2" s="1"/>
  <c r="D14" i="2"/>
  <c r="C17" i="31"/>
  <c r="L12" i="2" l="1"/>
  <c r="L13" i="2" s="1"/>
  <c r="D11" i="31"/>
  <c r="D12" i="31" s="1"/>
  <c r="J22" i="2"/>
  <c r="K14" i="2"/>
  <c r="D13" i="31" l="1"/>
  <c r="D14" i="31" l="1"/>
  <c r="D15" i="31" l="1"/>
  <c r="D16" i="31" s="1"/>
  <c r="D17" i="31" s="1"/>
  <c r="D3" i="35"/>
  <c r="D4" i="35" s="1"/>
  <c r="D5" i="35" s="1"/>
  <c r="D6" i="35" s="1"/>
  <c r="D7" i="35" s="1"/>
  <c r="D8" i="35" s="1"/>
  <c r="D9" i="35" s="1"/>
  <c r="D10" i="35" s="1"/>
  <c r="D11" i="35" s="1"/>
  <c r="D12" i="35" s="1"/>
  <c r="D13" i="35" s="1"/>
  <c r="D14" i="35" s="1"/>
  <c r="D15" i="35" s="1"/>
  <c r="D16" i="35" s="1"/>
  <c r="D17" i="35" l="1"/>
  <c r="D18" i="35" l="1"/>
  <c r="D19" i="35" s="1"/>
  <c r="D20" i="35" s="1"/>
  <c r="D21" i="35" s="1"/>
  <c r="D22" i="35" s="1"/>
  <c r="D23" i="35" s="1"/>
  <c r="D24" i="35" s="1"/>
  <c r="D25" i="35" l="1"/>
  <c r="D26" i="35" s="1"/>
  <c r="D27" i="35" s="1"/>
  <c r="D28" i="35" s="1"/>
  <c r="D29" i="35" s="1"/>
  <c r="D30" i="35" s="1"/>
  <c r="D31" i="35" s="1"/>
  <c r="B37" i="35" l="1"/>
  <c r="B39" i="35" s="1"/>
</calcChain>
</file>

<file path=xl/comments1.xml><?xml version="1.0" encoding="utf-8"?>
<comments xmlns="http://schemas.openxmlformats.org/spreadsheetml/2006/main">
  <authors>
    <author>VLK</author>
  </authors>
  <commentList>
    <comment ref="A1" authorId="0" shapeId="0">
      <text>
        <r>
          <rPr>
            <sz val="8"/>
            <color indexed="81"/>
            <rFont val="Tahoma"/>
            <family val="2"/>
            <charset val="238"/>
          </rPr>
          <t>http://www.informatizacia.sk/ext_dok-opii-usmernenie-k-cba---agendove-is-20/27277c</t>
        </r>
      </text>
    </comment>
  </commentList>
</comments>
</file>

<file path=xl/comments2.xml><?xml version="1.0" encoding="utf-8"?>
<comments xmlns="http://schemas.openxmlformats.org/spreadsheetml/2006/main">
  <authors>
    <author>VLK</author>
  </authors>
  <commentList>
    <comment ref="D4" authorId="0" shapeId="0">
      <text>
        <r>
          <rPr>
            <sz val="8"/>
            <color indexed="81"/>
            <rFont val="Tahoma"/>
            <family val="2"/>
            <charset val="238"/>
          </rPr>
          <t>Parametre - Agendové IS</t>
        </r>
      </text>
    </comment>
    <comment ref="D6" authorId="0" shapeId="0">
      <text>
        <r>
          <rPr>
            <sz val="8"/>
            <color indexed="81"/>
            <rFont val="Tahoma"/>
            <family val="2"/>
            <charset val="238"/>
          </rPr>
          <t>TCO ToBe</t>
        </r>
      </text>
    </comment>
  </commentList>
</comments>
</file>

<file path=xl/comments3.xml><?xml version="1.0" encoding="utf-8"?>
<comments xmlns="http://schemas.openxmlformats.org/spreadsheetml/2006/main">
  <authors>
    <author>KPMG</author>
  </authors>
  <commentList>
    <comment ref="I14" authorId="0" shapeId="0">
      <text>
        <r>
          <rPr>
            <sz val="8"/>
            <color indexed="81"/>
            <rFont val="Tahoma"/>
            <family val="2"/>
            <charset val="238"/>
          </rPr>
          <t>ocakavame zapornu hodnotu
tato zaporna hodnota ma zodpovedat max. fin. pomoci z SF</t>
        </r>
      </text>
    </comment>
    <comment ref="J14" authorId="0" shapeId="0">
      <text>
        <r>
          <rPr>
            <sz val="8"/>
            <color indexed="81"/>
            <rFont val="Tahoma"/>
            <family val="2"/>
            <charset val="238"/>
          </rPr>
          <t>ocakavame kladnu hodnotu (moze byt aj nizko nad nulou)</t>
        </r>
      </text>
    </comment>
  </commentList>
</comments>
</file>

<file path=xl/comments4.xml><?xml version="1.0" encoding="utf-8"?>
<comments xmlns="http://schemas.openxmlformats.org/spreadsheetml/2006/main">
  <authors>
    <author>VLK</author>
  </authors>
  <commentList>
    <comment ref="B3" authorId="0" shapeId="0">
      <text>
        <r>
          <rPr>
            <sz val="8"/>
            <color indexed="81"/>
            <rFont val="Tahoma"/>
            <family val="2"/>
            <charset val="238"/>
          </rPr>
          <t>Parametre</t>
        </r>
      </text>
    </comment>
    <comment ref="V4" authorId="0" shapeId="0">
      <text>
        <r>
          <rPr>
            <b/>
            <sz val="8"/>
            <color indexed="81"/>
            <rFont val="Tahoma"/>
            <family val="2"/>
            <charset val="238"/>
          </rPr>
          <t>VLK: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VLK</author>
  </authors>
  <commentList>
    <comment ref="A26" authorId="0" shapeId="0">
      <text>
        <r>
          <rPr>
            <b/>
            <sz val="8"/>
            <color indexed="81"/>
            <rFont val="Tahoma"/>
            <family val="2"/>
            <charset val="238"/>
          </rPr>
          <t>EY:</t>
        </r>
        <r>
          <rPr>
            <sz val="8"/>
            <color indexed="81"/>
            <rFont val="Tahoma"/>
            <family val="2"/>
            <charset val="238"/>
          </rPr>
          <t xml:space="preserve">
Ročný počet vydaných správ a rozhodnutí je nízky (nevýznamný) k materiálovým nákladom a neovplyvní CBA.</t>
        </r>
      </text>
    </comment>
  </commentList>
</comments>
</file>

<file path=xl/comments6.xml><?xml version="1.0" encoding="utf-8"?>
<comments xmlns="http://schemas.openxmlformats.org/spreadsheetml/2006/main">
  <authors>
    <author>VLK</author>
  </authors>
  <commentList>
    <comment ref="G41" authorId="0" shapeId="0">
      <text>
        <r>
          <rPr>
            <sz val="8"/>
            <color indexed="81"/>
            <rFont val="Tahoma"/>
            <family val="2"/>
            <charset val="238"/>
          </rPr>
          <t>Predpokladá sa plná výmena zariadení po 7 rokoch</t>
        </r>
      </text>
    </comment>
  </commentList>
</comments>
</file>

<file path=xl/comments7.xml><?xml version="1.0" encoding="utf-8"?>
<comments xmlns="http://schemas.openxmlformats.org/spreadsheetml/2006/main">
  <authors>
    <author>Krok Martin</author>
  </authors>
  <commentList>
    <comment ref="AG119" authorId="0" shapeId="0">
      <text>
        <r>
          <rPr>
            <b/>
            <sz val="9"/>
            <color indexed="81"/>
            <rFont val="Segoe UI"/>
            <family val="2"/>
            <charset val="238"/>
          </rPr>
          <t>Krok Martin:</t>
        </r>
        <r>
          <rPr>
            <sz val="9"/>
            <color indexed="81"/>
            <rFont val="Segoe UI"/>
            <family val="2"/>
            <charset val="238"/>
          </rPr>
          <t xml:space="preserve">
Súčet by mal zodpoveď Investičným nákladom na vývoj aplikácií
 v Alternatíve 2</t>
        </r>
      </text>
    </comment>
    <comment ref="AH119" authorId="0" shapeId="0">
      <text>
        <r>
          <rPr>
            <b/>
            <sz val="9"/>
            <color indexed="81"/>
            <rFont val="Segoe UI"/>
            <family val="2"/>
            <charset val="238"/>
          </rPr>
          <t>Krok Martin:</t>
        </r>
        <r>
          <rPr>
            <sz val="9"/>
            <color indexed="81"/>
            <rFont val="Segoe UI"/>
            <family val="2"/>
            <charset val="238"/>
          </rPr>
          <t xml:space="preserve">
Súčet by mal zodpoveď Investičným nákladom na vývoj aplikácií
 v Alternatíve 2</t>
        </r>
      </text>
    </comment>
    <comment ref="AI119" authorId="0" shapeId="0">
      <text>
        <r>
          <rPr>
            <b/>
            <sz val="9"/>
            <color indexed="81"/>
            <rFont val="Segoe UI"/>
            <family val="2"/>
            <charset val="238"/>
          </rPr>
          <t>Krok Martin:</t>
        </r>
        <r>
          <rPr>
            <sz val="9"/>
            <color indexed="81"/>
            <rFont val="Segoe UI"/>
            <family val="2"/>
            <charset val="238"/>
          </rPr>
          <t xml:space="preserve">
Súčet by mal zodpoveď Investičným nákladom na vývoj aplikácií
 v Alternatíve 2</t>
        </r>
      </text>
    </comment>
    <comment ref="AP119" authorId="0" shapeId="0">
      <text>
        <r>
          <rPr>
            <b/>
            <sz val="9"/>
            <color indexed="81"/>
            <rFont val="Segoe UI"/>
            <family val="2"/>
            <charset val="238"/>
          </rPr>
          <t>Krok Martin:</t>
        </r>
        <r>
          <rPr>
            <sz val="9"/>
            <color indexed="81"/>
            <rFont val="Segoe UI"/>
            <family val="2"/>
            <charset val="238"/>
          </rPr>
          <t xml:space="preserve">
Súčet by mal zodpoveď Investičným nákladom na vývoj aplikácií
 v Alternatíve 2</t>
        </r>
      </text>
    </comment>
  </commentList>
</comments>
</file>

<file path=xl/sharedStrings.xml><?xml version="1.0" encoding="utf-8"?>
<sst xmlns="http://schemas.openxmlformats.org/spreadsheetml/2006/main" count="4630" uniqueCount="781">
  <si>
    <t>Názov</t>
  </si>
  <si>
    <t>Popis</t>
  </si>
  <si>
    <t>Hodnota</t>
  </si>
  <si>
    <t>Životnosť projektu (t)</t>
  </si>
  <si>
    <t>Referenčné obdobie je počet rokov, na ktorý sa vo finančnej analýze (analýze nákladov a výnosov) uvádzajú predpovede. Predpovede týkajúce sa budúceho trendu projektu by sa mali formulovať na obdobie, ktoré je primerané jeho ekonomicky užitočnému trvaniu a ktoré je dosť dlhé na to, aby zahŕňalo jeho pravdepodobné dlhodobejšie dosahy. Ide o časové obdobie, kedy je možné overiť úspešnosť investície. Trvanie sa mení podľa povahy investície. Referenčný časový horizont v rokoch podľa sektorov je uvedený podľa prílohy 1 Delegovaného nariadenia Komisie (EÚ) 480/2014 z 3. marca 2014, ktorým sa dopĺňa všeobecné nariadenie.</t>
  </si>
  <si>
    <t>Referenčná diskontná sadzba (i)</t>
  </si>
  <si>
    <t>Sociálna diskontná sadzba (r)</t>
  </si>
  <si>
    <t>Cieľom CBA je preukázať pri štrukturálne významných investíciách, že ekonomická čistá súčasná hodnota za dané obdobie a pri stanovenej sociálnej diskontnej sadzbe je kladná.</t>
  </si>
  <si>
    <t>Diskontovanie odhadovaných nákladov a prínosov: keď sa odhadne tok ekonomických nákladov a prínosov, mala by sa uplatniť štandardná diskontovaná metodika peňažného toku pomocou sociálnej diskontnej sadzby</t>
  </si>
  <si>
    <t>Osobné náklady (Cper)</t>
  </si>
  <si>
    <t>Jednotka</t>
  </si>
  <si>
    <t>rok</t>
  </si>
  <si>
    <t>%</t>
  </si>
  <si>
    <t>EUR</t>
  </si>
  <si>
    <t xml:space="preserve">Diskontná sadzba, ktorá sa má používať vo finančnej analýze má informovať investora o alternatívnych kapitálových nákladoch. Môže sa za ňu považovať ušlý výnos najlepšieho alternatívneho projektu.
V prípade verejných investičných projektov spolufinancovaných z fondov sa stanovuje 4 % finančná diskontná sadzbu pre výpočet čistej súčasnej hodnoty investície v stálych cenách roku predloženia žiadosti o NFP.
</t>
  </si>
  <si>
    <t>EUR/hod</t>
  </si>
  <si>
    <t>Čistá súčasná hodnota z projektu</t>
  </si>
  <si>
    <t>Finančné prínosy</t>
  </si>
  <si>
    <t>Ekonomické prínosy</t>
  </si>
  <si>
    <t>koeficient obdobia</t>
  </si>
  <si>
    <t>Finančná (FNPV)</t>
  </si>
  <si>
    <t>Ekonomická (ENPV)</t>
  </si>
  <si>
    <t>Kumulovaná diskont. návratnosť ENPV</t>
  </si>
  <si>
    <t>Obdobie</t>
  </si>
  <si>
    <t>rozdiel</t>
  </si>
  <si>
    <t>t1</t>
  </si>
  <si>
    <t>t2</t>
  </si>
  <si>
    <t>t3</t>
  </si>
  <si>
    <t>t4</t>
  </si>
  <si>
    <t>t5</t>
  </si>
  <si>
    <t>t6</t>
  </si>
  <si>
    <t>t7</t>
  </si>
  <si>
    <t>t8</t>
  </si>
  <si>
    <t>t9</t>
  </si>
  <si>
    <t>t10</t>
  </si>
  <si>
    <t>SPOLU</t>
  </si>
  <si>
    <t>Cashflow projektu</t>
  </si>
  <si>
    <t>počet / rok</t>
  </si>
  <si>
    <t>hod.</t>
  </si>
  <si>
    <t>Kvalitatívne prínosy</t>
  </si>
  <si>
    <t>Parameter</t>
  </si>
  <si>
    <t>Počet podaní</t>
  </si>
  <si>
    <t>Výška administratívneho poplatku</t>
  </si>
  <si>
    <t>Počet zamestnancov vybavujúcich agendu</t>
  </si>
  <si>
    <t>Priame prínosy</t>
  </si>
  <si>
    <t>Nepriame prínosy</t>
  </si>
  <si>
    <t>Prínosy spolu</t>
  </si>
  <si>
    <t>Administratívne poplatky</t>
  </si>
  <si>
    <t>Ostatné daňové a nedaňové príjmy</t>
  </si>
  <si>
    <t>Cena ušetreného času používateľa</t>
  </si>
  <si>
    <t>Kvalitatívne prínosy vo finančnom vyjadrení</t>
  </si>
  <si>
    <t>Organizácia</t>
  </si>
  <si>
    <t>Ulica</t>
  </si>
  <si>
    <t>PSČ</t>
  </si>
  <si>
    <t>Web</t>
  </si>
  <si>
    <t>IČO</t>
  </si>
  <si>
    <t>Spracovateľ</t>
  </si>
  <si>
    <t xml:space="preserve">Kontakt na spracovateľa    </t>
  </si>
  <si>
    <t>Hlavička tabuľky</t>
  </si>
  <si>
    <t>Popisná informácia</t>
  </si>
  <si>
    <t>Metodický pokyn k vypracovaniu finančnej analýzy projektu, analýzy nákladov a prínosov projektu a finančnej analýzy žiadateľa o NFP v programovom období 2014 – 2020.</t>
  </si>
  <si>
    <t>Jednotlivé informácie sú farebne odlíšené nasledovne:</t>
  </si>
  <si>
    <t>Automaticky vypočitavané hodnoty</t>
  </si>
  <si>
    <t>Miesto na vpisovanie vlastných hodnôt</t>
  </si>
  <si>
    <t>Preddefinované konštanty</t>
  </si>
  <si>
    <t>Pre projekty zamerané na služby agendových informačných systémov</t>
  </si>
  <si>
    <t>HW</t>
  </si>
  <si>
    <t>SW</t>
  </si>
  <si>
    <t>Všeobecný materiál</t>
  </si>
  <si>
    <t>Variabilné výdavky</t>
  </si>
  <si>
    <t>Výdavky spolu</t>
  </si>
  <si>
    <t>ENPV</t>
  </si>
  <si>
    <t>Obstaranie, inštalácia SW produktu vrátane licencie k SW</t>
  </si>
  <si>
    <t>013 Softvér</t>
  </si>
  <si>
    <t>Kód EKO klasifikácie</t>
  </si>
  <si>
    <t>Účet/skupina výdavkov</t>
  </si>
  <si>
    <t>Vytvorenie aplikácie</t>
  </si>
  <si>
    <t>Školenia spojené so SW a aplikáciou</t>
  </si>
  <si>
    <t>518 Ostatné služby</t>
  </si>
  <si>
    <t>Prevádzka vytvoreného riešenia</t>
  </si>
  <si>
    <t>Poplatky vlastníkovi SW produktu - údržba / support k licenciám</t>
  </si>
  <si>
    <t>511 Opravy a udržiavanie</t>
  </si>
  <si>
    <t>Upgrade SW produktu</t>
  </si>
  <si>
    <t>Poplatky za udržanie funkčnosti / dostupnosti aplikácie / update</t>
  </si>
  <si>
    <t>Aplikačná podpora / helpdesk</t>
  </si>
  <si>
    <t>Rozvoj - doplnenie funkcionality aplikácie / upgrade</t>
  </si>
  <si>
    <t>Personálne náklady spojené s prevádzkou SW produktu a aplikácie</t>
  </si>
  <si>
    <t>521 Mzdové výdavky</t>
  </si>
  <si>
    <t>Obstaranie</t>
  </si>
  <si>
    <t>Prevádzka riešenia</t>
  </si>
  <si>
    <t>Nákup, inštalácia a sprevádzkovanie HW 
vrátane systémového SW</t>
  </si>
  <si>
    <t>Nákup, inštalácia a sprevádzkovanie HW
 vrátane systémového SW</t>
  </si>
  <si>
    <t>Školenia spojené s HW</t>
  </si>
  <si>
    <t>022 Samostatné hnuteľné veci
 a súbory hnuteľných vecí</t>
  </si>
  <si>
    <t>Poplatky dodávateľovi podpory HW - údržba/maintenance</t>
  </si>
  <si>
    <t>Upgrade HW</t>
  </si>
  <si>
    <t>Náklady na priestory, energie</t>
  </si>
  <si>
    <t>Personálne náklady spojené s prevádzkou HW</t>
  </si>
  <si>
    <t>Celkové náklady na vlastníctvo (TCO)</t>
  </si>
  <si>
    <t>Rok</t>
  </si>
  <si>
    <t>HW sumár obstaranie</t>
  </si>
  <si>
    <t>HW sumár prevádzka</t>
  </si>
  <si>
    <t xml:space="preserve">Spolu </t>
  </si>
  <si>
    <t>Spolu</t>
  </si>
  <si>
    <t>SW produkty</t>
  </si>
  <si>
    <t>Aplikácie</t>
  </si>
  <si>
    <t>SW produkty - sumár obstaranie</t>
  </si>
  <si>
    <t>SW produkty - sumár prevádzka</t>
  </si>
  <si>
    <t>Aplikácie - sumár obstaranie</t>
  </si>
  <si>
    <t>Aplikácie - sumár prevádzka</t>
  </si>
  <si>
    <t xml:space="preserve">Prvý rok, ktorým výpočet CBA a TCO začína, rok začatia projektu </t>
  </si>
  <si>
    <t>Príloha pre výpočet TCO a čistej súčasnej hodnoty z projektu</t>
  </si>
  <si>
    <t>Názov riešenia</t>
  </si>
  <si>
    <t>112 Zásoby</t>
  </si>
  <si>
    <t>Kód ISVS z MetaIS</t>
  </si>
  <si>
    <t>Číslo projektu ITMS</t>
  </si>
  <si>
    <t>Vytvorenie riešenia - obstaranie</t>
  </si>
  <si>
    <t>BCR</t>
  </si>
  <si>
    <t>Výstup/funkcionalita projektu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</si>
  <si>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</si>
  <si>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</si>
  <si>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</si>
  <si>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</si>
  <si>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</si>
  <si>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</si>
  <si>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</si>
  <si>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</si>
  <si>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</si>
  <si>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</si>
  <si>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</si>
  <si>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</si>
  <si>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M13</t>
  </si>
  <si>
    <t>M14</t>
  </si>
  <si>
    <t>M15</t>
  </si>
  <si>
    <t>M16</t>
  </si>
  <si>
    <t>M17</t>
  </si>
  <si>
    <t>M18</t>
  </si>
  <si>
    <t>M19</t>
  </si>
  <si>
    <t>M20</t>
  </si>
  <si>
    <t>M21</t>
  </si>
  <si>
    <t>M22</t>
  </si>
  <si>
    <t>M24</t>
  </si>
  <si>
    <t>Počet dní interné</t>
  </si>
  <si>
    <t>Počet dní externé</t>
  </si>
  <si>
    <t>Pocet FTE interne</t>
  </si>
  <si>
    <t>Pocet FTE externe</t>
  </si>
  <si>
    <t>Suma interné</t>
  </si>
  <si>
    <t>Publicita a informovanosť</t>
  </si>
  <si>
    <t xml:space="preserve">Projektové riadenie </t>
  </si>
  <si>
    <t>INDIKATÍVNY ROZPOČET SPOLU</t>
  </si>
  <si>
    <t>Rozdiel</t>
  </si>
  <si>
    <t>NPV</t>
  </si>
  <si>
    <t>HW (aj systémový SW) sumár obstaranie</t>
  </si>
  <si>
    <t>HW (aj systémový SW) sumár prevádzka</t>
  </si>
  <si>
    <t>organizácia B</t>
  </si>
  <si>
    <t>organizácia C</t>
  </si>
  <si>
    <t>TO BE</t>
  </si>
  <si>
    <t>organizácia ...</t>
  </si>
  <si>
    <t>Výsledná hodnota</t>
  </si>
  <si>
    <t>Všetky prínosové položky sú automaticky vypočítané na základe údajov uvedených v záložkách TCO, spotrebované cloudové služby a Parametre - Agendové IS</t>
  </si>
  <si>
    <t>Všetky výdavkové položky sú automaticky vypočítané na základe údajov uvedených v záložkách TCO a Parametre - Agendové IS</t>
  </si>
  <si>
    <t>FIRR</t>
  </si>
  <si>
    <t>EIRR</t>
  </si>
  <si>
    <t>FNPV</t>
  </si>
  <si>
    <t>pomer prínosov a nákladov</t>
  </si>
  <si>
    <t>finančná vnútorná výnosová miera (%)</t>
  </si>
  <si>
    <t>ekonomická vnútorná výnosová miera (%)</t>
  </si>
  <si>
    <t>Minimálna hodnota</t>
  </si>
  <si>
    <t>-</t>
  </si>
  <si>
    <t>Výsledok CBA</t>
  </si>
  <si>
    <t>Priemerná mzda vo verejnej správe (aktuálna, W_ps)</t>
  </si>
  <si>
    <t xml:space="preserve">Priemerná mzda v NH (Cperc) </t>
  </si>
  <si>
    <t>Náklady IT systém</t>
  </si>
  <si>
    <t>FTE úradník</t>
  </si>
  <si>
    <t>FTE</t>
  </si>
  <si>
    <t>Administrtívny poplatok</t>
  </si>
  <si>
    <t>človeko-hod.</t>
  </si>
  <si>
    <t>Cena ušetreného času používateľa
(S pravidlom polovice)</t>
  </si>
  <si>
    <t>Cena ušetreného času úradníka</t>
  </si>
  <si>
    <t>Materiálové náklady</t>
  </si>
  <si>
    <t>Čas potrebný na vypracovanie a doručenie podania (ušetrený čas používateľa)</t>
  </si>
  <si>
    <t>Trvanie spracovania podania (ušetrený čas úradníka)</t>
  </si>
  <si>
    <t>Zníženie kvalitatívnych prínosov</t>
  </si>
  <si>
    <t>Zníženie očakávaného ušetreného času úradníka</t>
  </si>
  <si>
    <t>Zníženie očakávaného ušetreného času používateľa</t>
  </si>
  <si>
    <t>Zníženie počtu podaní v budúcom stave</t>
  </si>
  <si>
    <t>Zvýšenie nákladov - TCO celkovo</t>
  </si>
  <si>
    <t>Zvýšenie CAPEX</t>
  </si>
  <si>
    <t>Minimálny počet MD</t>
  </si>
  <si>
    <t>Maximálny počet MD</t>
  </si>
  <si>
    <t>Priemerný MD rate</t>
  </si>
  <si>
    <t>Maximálna suma</t>
  </si>
  <si>
    <t>Minimálna suma</t>
  </si>
  <si>
    <t>Vyplní oslovený dodávateľ</t>
  </si>
  <si>
    <t>Ročná prevádzka celého systému (SLA) vrátane zmenových konaní</t>
  </si>
  <si>
    <t>Vyplní spracovateľ projektu</t>
  </si>
  <si>
    <t>Výstup/funkcionalita projektu
(všetky náklady vrátane analýzy, dizajnu, testovania a nasadenia)</t>
  </si>
  <si>
    <t>Vysvetlenie rozptylu medzi minimálnou a maximálnou sumou 
(nepovinné)</t>
  </si>
  <si>
    <t>Prínosy</t>
  </si>
  <si>
    <t xml:space="preserve">Úradníci (€) </t>
  </si>
  <si>
    <t>Občania (€)</t>
  </si>
  <si>
    <t>Úradníci (FTE)</t>
  </si>
  <si>
    <t>IT - CAPEX</t>
  </si>
  <si>
    <t>IT - OPEX</t>
  </si>
  <si>
    <t>N/A</t>
  </si>
  <si>
    <t>Nevyčíslené spoločenské prínosy</t>
  </si>
  <si>
    <t>...</t>
  </si>
  <si>
    <t>Aplikačný modul - SW a Aplikácie</t>
  </si>
  <si>
    <t>Aplikačný modul - HW</t>
  </si>
  <si>
    <r>
      <t xml:space="preserve">Sem prosím vložte procesnú mapu stavu </t>
    </r>
    <r>
      <rPr>
        <b/>
        <sz val="11"/>
        <color theme="1"/>
        <rFont val="Calibri"/>
        <family val="2"/>
        <charset val="238"/>
        <scheme val="minor"/>
      </rPr>
      <t>AS IS</t>
    </r>
    <r>
      <rPr>
        <sz val="11"/>
        <color theme="1"/>
        <rFont val="Calibri"/>
        <family val="2"/>
        <charset val="238"/>
        <scheme val="minor"/>
      </rPr>
      <t xml:space="preserve"> a stavu </t>
    </r>
    <r>
      <rPr>
        <b/>
        <sz val="11"/>
        <color theme="1"/>
        <rFont val="Calibri"/>
        <family val="2"/>
        <charset val="238"/>
        <scheme val="minor"/>
      </rPr>
      <t>TO BE</t>
    </r>
  </si>
  <si>
    <t>AS IS</t>
  </si>
  <si>
    <t>Procesy na strane úradníka (časové hodnoty)</t>
  </si>
  <si>
    <t>prosím doplňte časové trvanie aktivity (vložením "1")</t>
  </si>
  <si>
    <t>Zoznam hárkov s vysvetlením a pokynmi</t>
  </si>
  <si>
    <t>Sumarizácia</t>
  </si>
  <si>
    <t>CBA</t>
  </si>
  <si>
    <t>Analyza citlivosti</t>
  </si>
  <si>
    <t>Výdavky</t>
  </si>
  <si>
    <t>Parametre</t>
  </si>
  <si>
    <t>TCO</t>
  </si>
  <si>
    <t>TCO Alt. 1 - SW</t>
  </si>
  <si>
    <t>TCO Alt. 1 - HW</t>
  </si>
  <si>
    <t>TCO Alt. 2 - SW</t>
  </si>
  <si>
    <t>TCO Alt. 2 - HW</t>
  </si>
  <si>
    <t>Rozpočet - vývoj aplikácii</t>
  </si>
  <si>
    <t>Rozdiel
(voči min. riešenia navrhovaneho obstarávateĹom)</t>
  </si>
  <si>
    <t>Popis zmien v alternatívnom riešení
(nepovinné)</t>
  </si>
  <si>
    <t>Alternatívne riešeine
(nepovinné)</t>
  </si>
  <si>
    <t>Riešenie navrhované obstarávateľom</t>
  </si>
  <si>
    <t>Slepý rozpočet</t>
  </si>
  <si>
    <t>Faktory</t>
  </si>
  <si>
    <t>Meranie prínosov</t>
  </si>
  <si>
    <t>Procesné mapy</t>
  </si>
  <si>
    <t>Procesy AS IS</t>
  </si>
  <si>
    <t>Procesy TO BE</t>
  </si>
  <si>
    <t>Hárok</t>
  </si>
  <si>
    <t>Účel hárku</t>
  </si>
  <si>
    <t>Vymenovanie a popísanie nevyčíslených spoločenských prínosov</t>
  </si>
  <si>
    <t>Sumarizácia výsledkov CBA podľa prínosov a modulov</t>
  </si>
  <si>
    <t>Výsledky CBA na agregátnej úrovni, výpočet BCR</t>
  </si>
  <si>
    <t>Žiadne</t>
  </si>
  <si>
    <t>Vstupy od zhotoviteľa (žlté polia)</t>
  </si>
  <si>
    <t>Automatický výpočet citlivosti výsledkov CBA na zmeny parametrov</t>
  </si>
  <si>
    <t>Výpočet prínosov projektu na základe vstupných parametrov</t>
  </si>
  <si>
    <t>Výpočet výdavkov projektu na základe vstupných parametrov</t>
  </si>
  <si>
    <t>Polia "Ostatné daňové a nedaňové príjmy" (ak projekt také generuje)</t>
  </si>
  <si>
    <t>Vstupné parametre pre jednotlivé moduly/životné situácie: počty podaní, trvania času</t>
  </si>
  <si>
    <t>Všetky relevantné žlté polia</t>
  </si>
  <si>
    <t>Zhrnutie celkových nákladov na vlastníctvo oboch alternatív projektu</t>
  </si>
  <si>
    <t xml:space="preserve">Náklady na vlastníctvo softvéru alternatívy 1 (AS IS) </t>
  </si>
  <si>
    <t xml:space="preserve">Náklady na vlastníctvo hardvéru alternatívy 1 (AS IS) </t>
  </si>
  <si>
    <t xml:space="preserve">Náklady na vlastníctvo softvéru alternatívy 2 (TO BE) </t>
  </si>
  <si>
    <t>Náklady na vlastníctvo hardvéru alternatívy 2 (TO BE)</t>
  </si>
  <si>
    <t>Všetky relevantné žlté polia a časové trvanie projektu</t>
  </si>
  <si>
    <t>Vyplnia dodávateľia, oslovení v procese trhovej konzultácie</t>
  </si>
  <si>
    <t>Zoznam modulov s ich opisom a harmonogramom</t>
  </si>
  <si>
    <t>Spoločné vstupné parametre pre ocenenie prínosov a výpočet CBA</t>
  </si>
  <si>
    <t>Aktuálne priemerné mzdy v hospodárstve podľa ŠÚ SR, rok začiatku projektu</t>
  </si>
  <si>
    <t xml:space="preserve">Slúži na rozdelenie prínosov podľa jednotlivých úradov (ak je to možné) 
a na ex-post monitorovanie dosahovania prínosov. </t>
  </si>
  <si>
    <t xml:space="preserve">V procese prípravy štúdie vyplní iba žlté stĺpce označené ako "Alt. 2", ktoré rozdeľujú prínosy podľa úradov </t>
  </si>
  <si>
    <t>Procesné mapy súčasného a budúceho stavu biznis procesov.</t>
  </si>
  <si>
    <t>Procesné mapy ako obrázky.</t>
  </si>
  <si>
    <t xml:space="preserve">Zdroj dát pre odhad časovej náročnosti súčasných procesov. </t>
  </si>
  <si>
    <t xml:space="preserve">Zdroj dát pre odhad časovej náročnosti budúcich procesov. </t>
  </si>
  <si>
    <t>Relevantné merania podľa procesov a procesných krokov.</t>
  </si>
  <si>
    <t>Riadenie projektu</t>
  </si>
  <si>
    <t>Riadenie a publicita</t>
  </si>
  <si>
    <t>Projektové riadenie</t>
  </si>
  <si>
    <t>Počet podaní / volaní</t>
  </si>
  <si>
    <t>Priemerná mesačná hrubá mzda vo verejnej správe za 1. - 4. Q./2017 (obdobie aktualizovať k času predloženia dokumentu), podľa ŠÚ SR</t>
  </si>
  <si>
    <t>Priemerná mesačná hrubá mzda v národnom hospodárstve SR za 1. - 4. Q./2017 (obdobie aktualizovať k času predloženia dokumentu), podľa ŠÚ SR</t>
  </si>
  <si>
    <t>Fond pracovnej doby - VS (FPDvs)</t>
  </si>
  <si>
    <t>hod/rok</t>
  </si>
  <si>
    <t>Fond pracovnej doby - NH (FPDnh)</t>
  </si>
  <si>
    <t xml:space="preserve">Cper = (W_ps * Odvody) / Fond pracovnej doby. Odvody (SP, ZP, DP) sú 35,2%“. Osobné náklady sú faktorom prevádzkových variabilných nákladov.
</t>
  </si>
  <si>
    <t>Rok 2019 má dokopy 250 pracovných dní, t.j. 2000 pracovných hodín. S platenými sviatkami má rok 261 pracovných dní, t.j. 2088 pracovných hodín.. 8 hodinový pracovný čas (obdobie aktualizovať k času predloženia dokumentu), podľa https://calendar.zoznam.sk/worktime-sksk.php?hy=2019</t>
  </si>
  <si>
    <t>Rok 2019 má dokopy 250 pracovných dní, t.j. 1875 pracovných hodín. S platenými sviatkami má rok 261 pracovných dní, t.j. 1957.5 pracovných hodín. 7,5 hodinový pracovný čas (obdobie aktualizovať k času predloženia dokumentu), podľa https://calendar.zoznam.sk/worktime-sksk.php?hy=2019</t>
  </si>
  <si>
    <t>Položka</t>
  </si>
  <si>
    <t>Merná jednotka</t>
  </si>
  <si>
    <t>Počet</t>
  </si>
  <si>
    <t>Zdroj ceny</t>
  </si>
  <si>
    <t>ks</t>
  </si>
  <si>
    <t>Rozpočet - HW a licencie</t>
  </si>
  <si>
    <t>Detailný rozpočet pre vývoj navrhovaného riešenia (TO BE)</t>
  </si>
  <si>
    <t>Položkový rozpočet pre nákup licencií a HW (TO BE)</t>
  </si>
  <si>
    <t>Nákup krabicového SW</t>
  </si>
  <si>
    <t>Dodatočná úprava krabicového SW / Vývoj riešenia</t>
  </si>
  <si>
    <t>Názov SW</t>
  </si>
  <si>
    <t>počet kusov</t>
  </si>
  <si>
    <t>Cena za kus</t>
  </si>
  <si>
    <t>Cena spolu</t>
  </si>
  <si>
    <t>Integrácie a migrácie (modulov)</t>
  </si>
  <si>
    <t>Výstupné náklady</t>
  </si>
  <si>
    <t>Zmluvné poplaky</t>
  </si>
  <si>
    <t>Technologické požiadavky</t>
  </si>
  <si>
    <t>SW a Aplikácie - výstupné náklady</t>
  </si>
  <si>
    <t>SW a Aplikácie - Výstupné náklady</t>
  </si>
  <si>
    <t>Popis
(Vrátane zdôvodnenia zvoleného technologického variantu - IaaS, PaaS, vývoj vlastnej aplikácie, COTS riešenie)</t>
  </si>
  <si>
    <t>Aho</t>
  </si>
  <si>
    <t>Koncová služba</t>
  </si>
  <si>
    <t>TO BE - AS IS (€, NPV)</t>
  </si>
  <si>
    <t>TO BE - AS IS (€, SUM)</t>
  </si>
  <si>
    <t>Kontrola TO BE</t>
  </si>
  <si>
    <t>Finančný cashflow (s DPH)</t>
  </si>
  <si>
    <t>Ekonomický cashflow (bez DPH)</t>
  </si>
  <si>
    <t>Náklady s DPH</t>
  </si>
  <si>
    <t>ekonomická čistá súčasná hodnota (eur bez DPH)</t>
  </si>
  <si>
    <t>finančná čistá súčasná hodnota (eur s DPH)</t>
  </si>
  <si>
    <t>Zefektívnenie štátneho dozoru v starostlivosti o životné prostredie</t>
  </si>
  <si>
    <t>Slovenská inšpekcia životného prostredia</t>
  </si>
  <si>
    <t>Jeséniova 17D</t>
  </si>
  <si>
    <t>831 01</t>
  </si>
  <si>
    <t>www.sizp.sk</t>
  </si>
  <si>
    <t>00156906</t>
  </si>
  <si>
    <t>Ernst &amp; Young, s.r.o.</t>
  </si>
  <si>
    <r>
      <t xml:space="preserve">Materiálové náklady na 1 podanie </t>
    </r>
    <r>
      <rPr>
        <i/>
        <sz val="11"/>
        <color theme="1"/>
        <rFont val="Calibri"/>
        <family val="2"/>
        <charset val="238"/>
        <scheme val="minor"/>
      </rPr>
      <t>(napr. Poštovné (0,83 EUR)+Tlač (0,02 EUR)+Papier (0,01 EUR)+Obálka (0,03 EUR). Zhotoviteľ štúdie doplní skutočné náklady)</t>
    </r>
  </si>
  <si>
    <t>Viď osobitná príloha</t>
  </si>
  <si>
    <t>Počet kontrol</t>
  </si>
  <si>
    <t>Priemerný evidenčný stav inšpektorov v r. 2017</t>
  </si>
  <si>
    <t>NA</t>
  </si>
  <si>
    <t>odolné zariadenia pre prácu v teréne</t>
  </si>
  <si>
    <t>HW pre mandátny podpis inšpektora</t>
  </si>
  <si>
    <t>Analýza a návrh</t>
  </si>
  <si>
    <t>Vývoj</t>
  </si>
  <si>
    <t>Testovanie</t>
  </si>
  <si>
    <t>Dokumentácia</t>
  </si>
  <si>
    <t>Migrácia údajov</t>
  </si>
  <si>
    <t>Nasadenie do rutinnej prevádzky</t>
  </si>
  <si>
    <t>Verejný portál KSED</t>
  </si>
  <si>
    <t>1.</t>
  </si>
  <si>
    <t>1.1</t>
  </si>
  <si>
    <t>1.2</t>
  </si>
  <si>
    <t>2.</t>
  </si>
  <si>
    <t>2.1</t>
  </si>
  <si>
    <t>2.2</t>
  </si>
  <si>
    <t>3.1</t>
  </si>
  <si>
    <t>3.2</t>
  </si>
  <si>
    <t>4.1</t>
  </si>
  <si>
    <t>4.2</t>
  </si>
  <si>
    <t>SIŽP</t>
  </si>
  <si>
    <t>Rok 1</t>
  </si>
  <si>
    <t>Rok 2</t>
  </si>
  <si>
    <t>711003 Nákup softvéru</t>
  </si>
  <si>
    <t>633013 Softvér</t>
  </si>
  <si>
    <t>637001 Školenia, kurzy, semináre, porady, konferencie, sympóziá</t>
  </si>
  <si>
    <t>635009 Rutinná a štandardná údržba softvéru</t>
  </si>
  <si>
    <t>718006 Rekonštrukcia a modernizácia softvéru</t>
  </si>
  <si>
    <t>637005 Špeciálne služby dodávateľským spôsobom</t>
  </si>
  <si>
    <t>1.1.1</t>
  </si>
  <si>
    <t>1.1.2</t>
  </si>
  <si>
    <t>1.2.1</t>
  </si>
  <si>
    <t>1.2.2</t>
  </si>
  <si>
    <t>1.2.3</t>
  </si>
  <si>
    <t>2.1.1</t>
  </si>
  <si>
    <t>2.1.2</t>
  </si>
  <si>
    <t>2.2.1</t>
  </si>
  <si>
    <t>2.2.2</t>
  </si>
  <si>
    <t>2.2.3</t>
  </si>
  <si>
    <t>2.2.4</t>
  </si>
  <si>
    <t>2.2.5</t>
  </si>
  <si>
    <t>637003 Propagácia, reklama a inzercia / 637004 Všeobecné služby</t>
  </si>
  <si>
    <t>637031 Pokuty a penále</t>
  </si>
  <si>
    <t>Modul</t>
  </si>
  <si>
    <t>713002 Nákup výpočtovej techniky</t>
  </si>
  <si>
    <t>633002 Výpočtová technika</t>
  </si>
  <si>
    <t>635002 Rutinná a štandardná údržba výpočtovej techniky</t>
  </si>
  <si>
    <t>718002 Rekonštrukcia a modernizácia výpočtovej techniky</t>
  </si>
  <si>
    <t>Technická služba pre Agendový IS KSED</t>
  </si>
  <si>
    <t>3</t>
  </si>
  <si>
    <t>4</t>
  </si>
  <si>
    <t>žiadne</t>
  </si>
  <si>
    <t>zálohovací SW (cluster produkcia a test)
výpočet pre prípad licencie Veam:
licnecia na počet sockets hostov, a teda 2 socketový host vyžaduje 2 licencie</t>
  </si>
  <si>
    <t>licencie centrálnej Databázy (cluster produkcia a test) pre KSED
výpočet licencie pre prípad MS SQL server databázy:
(2x licencia produkcia cluster + 2x licencia test cluster) * 2 (kvôli počtu CPU a potrebe zalicencovania core)</t>
  </si>
  <si>
    <t>antivírusové aplikácie (cluster produkcia a test) pre databázový cluster KSED</t>
  </si>
  <si>
    <t>antivírusové aplikácie (cluster produkcia a test) pre aplikačný cluster Agendového informačného systému KSED</t>
  </si>
  <si>
    <t>antivírusové aplikácie (cluster produkcia a test) pre mapový cluster Agendového informačného systému KSED</t>
  </si>
  <si>
    <t>antivírusové aplikácie (cluster produkcia a test) pre webový cluster Verejného portálu KSED</t>
  </si>
  <si>
    <t>antivírusové aplikácie (cluster produkcia a test) pre webový cluster Integračnej platformy KSED</t>
  </si>
  <si>
    <t>antivírusové aplikácie (cluster produkcia a test) pre API Gateway KSED</t>
  </si>
  <si>
    <t>M23</t>
  </si>
  <si>
    <t>Bez projektového riadenia</t>
  </si>
  <si>
    <t>EY: Nevznikakú rozdielové náklady. Zamestanci SIŽP v AsIs aj ToBe sú vybavení PC, obnova aj prevádzka sú hradené z rozpočtu SIŽP.</t>
  </si>
  <si>
    <t>EY: Nevznikajú rozdielové náklady. Aplikácie IS MZV, IS Garbis, IS DKČ a IS IPKZ používa SIŽP bezplatne. Bezplatné je aj virtualizované pripojenie do site ŽPnet cez VMware Horizon a do cloudu MS Azure.</t>
  </si>
  <si>
    <t>Kapacitné plánovanie bude podporené funkcionalitou IS KSED.</t>
  </si>
  <si>
    <t>Podproces bude optimalizovaný funkcionalitou IS KSED zameranou na automatizované naplnenie plánu subjektami s najvyšším automatizovane vypočítaným hodnotením rizika. Bude umožnená používateľská editácia plánu, t.j. vyradenie resp. zaradenie subjektov pre zohľadnenie okolností, ktoré nebudú predmetom automatizovaného hodnotenia rizika.</t>
  </si>
  <si>
    <t>Komunikácia plánu bude podporená funkcionalitou IS KSED.</t>
  </si>
  <si>
    <t>Plnenie plánu bude na rutinnej úrovni zabezpečené automatizovane, t.j. vyhodnotenie počtu kontrol, podnetov, porušení, počtu a objemu sankcií, odvolaní, v členení podľa predmetu kontrol.</t>
  </si>
  <si>
    <t>AIS KSED je workflow-nástrojom end-to-end pokrývajúcim procesy výkonu kontroly a povoľovania. Zoznam elektronizovaných procesov:</t>
  </si>
  <si>
    <t>1.1 Štvrťročné plánovanie kontrol</t>
  </si>
  <si>
    <t>1.1.2 Posúdenie rizikovosti kontrolovaných subjektov v populácii z hľadiska kontrolných cieľov</t>
  </si>
  <si>
    <t>1.1.4 Tvorba plánu</t>
  </si>
  <si>
    <t>1.1.5 Zverejnenie plánu</t>
  </si>
  <si>
    <t>1.1.6 Vyhodnotenie plnenia plánu</t>
  </si>
  <si>
    <t>1.2 Výkon kontroly</t>
  </si>
  <si>
    <t>1.2.1 Inicializácia kontroly</t>
  </si>
  <si>
    <t>Pridelenie úlohy (plánovanej či neplánovanej kontroly) bude pokryté funkcionalitou IS KSED.</t>
  </si>
  <si>
    <t>1.2.2 Aktualizácia rizikového profilu kontrolovaného subjektu a predmetu kontroly</t>
  </si>
  <si>
    <t>1.2.3 Definovanie rozsahu kontroly</t>
  </si>
  <si>
    <t>Vypracovanie plánovacej, ako aj každej inej písomnosti v spise bude uľahčené IS KSED predvyplnením dostupných informácií o kontrolovanom subjekte do šablón používaných v jednotlivých procesných krokoch.</t>
  </si>
  <si>
    <t>1.2.4 Určenie kontrolnej skupiny</t>
  </si>
  <si>
    <t>Bude podporené kapacitným plánovaním v rámci IS KSED.</t>
  </si>
  <si>
    <t>1.2.5 Logistická príprava kontroly</t>
  </si>
  <si>
    <t>1.2.6 Výkon kontroly</t>
  </si>
  <si>
    <t>2. IS KSED zvýši preukaznosť získaných dôkazov, napr. fotodokumentácie alebo meraní, okamžitým zaregistrovaním do spisu spolu s časom, súradnicami, prípadne aj elektronickým podpisom. Tým sa významne obmedzí priestor pre kontrolovaný subjekt napadnúť výsledok kontroly z procesného hľadiska.</t>
  </si>
  <si>
    <t>Vypracovanie bude uľahčené predvyplnením dostupných informácií o kontrolovanom subjekte do šablón používaných v jednotlivých procesných krokoch. Predbežný výstup bude elektronicky podpísaný. Odoslanie bude zabezpečené integráciou z jestvujúcim registratúrnym systémom.</t>
  </si>
  <si>
    <t>1.3 Uloženie sankcie</t>
  </si>
  <si>
    <t>Využije sa predvyplnená šablóna IS KSED.</t>
  </si>
  <si>
    <t>1.4 Spracovanie odvolania</t>
  </si>
  <si>
    <t>1.4.1 Vypracovanie upovedomenia o postúpení odvolania</t>
  </si>
  <si>
    <t>1.4.2 Príprava predkladacej správy na Ústredie</t>
  </si>
  <si>
    <t>1.5 Vykazovanie kontrolnej činnosti.</t>
  </si>
  <si>
    <t>1.5.1 Archivovanie výstupu kontroly, pracovných listov a získaných dôkazov</t>
  </si>
  <si>
    <t>Bude plne zabezpečené IS KSED.</t>
  </si>
  <si>
    <t>1.5.2 Napĺnanie databázy zistení a nápravných opatrení</t>
  </si>
  <si>
    <t>Bude plne zabezpečené IS KSED. Bude vstupom pre aktualizáciu rizikového profilu subjektu.</t>
  </si>
  <si>
    <t>1.5.3 Tvorba informácií o výsledkoch kontrolnej činnosti za obdobie</t>
  </si>
  <si>
    <t>IS KSED bude automatizovane generovať plnenie plánu kontrolnej činnosti podľa evidovaného stavu jednotlivých kontrol počas obdobia.</t>
  </si>
  <si>
    <t>1.5.4 Zverejňovanie informácií o výsledkoch kontrolnej činnosti za obdobie</t>
  </si>
  <si>
    <t>Zverejňovanie informácií o výsledkoch kontrolnej činnosti bude prepojené na GIS. Po zvolení lokácie sa zobrazia anonymizované výsledky kontrolnej aj povoľovacej činnosti v oblasti.</t>
  </si>
  <si>
    <t>2. Povoľovacia činnosť</t>
  </si>
  <si>
    <t>2.1 Príjem a pridelenie žiadosti (v registratúrnom systéme)</t>
  </si>
  <si>
    <t>2.2 Posúdenie žiadosti</t>
  </si>
  <si>
    <t>2.3 Vypracovanie návrhu rozhodnutia</t>
  </si>
  <si>
    <t>2.4 Schválenie rozhodnutia</t>
  </si>
  <si>
    <t>2.5 Vydanie rozhodnutia</t>
  </si>
  <si>
    <t>Je potrebné oddeliť prístup používateľov vykonávajúcich povoľovanie od používateľov vykonávajúcich kontrolu</t>
  </si>
  <si>
    <t>1. Inšpekčná činnosť</t>
  </si>
  <si>
    <t>Podproces bude podporený funkcionalitou IS KSED zbierajúcou informácie o kontrolovaných subjektoch z preddefinovaných zdrojov a spracúvajúcou ich prednastaveným alebo ad hoc spôsobom, čím sa kontrolovaným subjektom priradí rizikový profil a uľahčí sa plánovanie kontrol.</t>
  </si>
  <si>
    <t>1.1.3 Posúdenie zdrojov (kapacity)</t>
  </si>
  <si>
    <t>1.1.1 Prioritizácia kontrolných cieľov z hľadiska spoločenskej potreby</t>
  </si>
  <si>
    <t>IS KSED automatizovane sústredí informácie o kontrolovanom subjekte z integrovaných registrov a z definovaných internetových zdrojov s prístupom na čítanie. Poskytne prepracované priestorové údaje prispôsobené lokácii kontroly (napr. prekryv mapových vrstiev rôznych zdrojov priestorových údajov).</t>
  </si>
  <si>
    <t>1.2.6 Výkon kontroly - je podporený mobilným agendovým systémom - viď modul 2</t>
  </si>
  <si>
    <t>1.3.1 Vypracovanie a zaslanie oznámenia o začatí správneho konania</t>
  </si>
  <si>
    <t>1.3.2 Vykonanie ústneho pojednávania (v prípade potreby) + zápisnica</t>
  </si>
  <si>
    <t>1.3.3 Vydanie rozhodnutia o sankcii</t>
  </si>
  <si>
    <t>1.4.3 Vypracovanie rozhodnutia o odvolaní</t>
  </si>
  <si>
    <t>1.5.4 Zverejňovanie informácií o výsledkoch kontrolnej činnosti za obdobie - viď Verejný portál KSED - modul 3</t>
  </si>
  <si>
    <t>Mobilná aplikácia bude vytvorená pre operačné systémy Android a iOS Apple. Umožní verejnosti anonymne nahlasovať podnety na znečisťovanie životného prostredia alebo porušovania zákonov o ochrane prírody. Nahlasované údaje budú prenášané do agendového informačného systému KSED a budú slúžiť ako jeden zo zdrojov pre výkon kontrol v teréne. Aplikácia umožní zaevidovať podnet, GPS polohu lokality, priložiť fotodokumentáciu, videosnímok. V prípade, ak nahlasovateľ uvedie aj svoj email kontakt, informačný systém ho bude notifikovať o priebehu vybavenia podnetu a výsledkoch realizovaných kontrolných úkonov.</t>
  </si>
  <si>
    <t>Potrebné migrácie z jestvujúcich systémov IS MZV, IS Garbis, IS DKČ, IS IPKZ (databázy kontrol v správe SAŽP, okrem IS DKČ v správe SIŽP)</t>
  </si>
  <si>
    <t>·       Register právnických osôb a jeho čiastkové registre</t>
  </si>
  <si>
    <t>·       Referenčné údaje o adresách z IS CSRÚ</t>
  </si>
  <si>
    <t>·       Referenčné údaje z obchodného registra</t>
  </si>
  <si>
    <t>·       Referenčné údaje zo živnostenského registra</t>
  </si>
  <si>
    <t>·       Register súdnych rozhodnutí / Registrov trestov FO a PO (SIŽP potrebuje mať k dispozícii informácie o trestoch FO a PO v oblasti životného prostredia, ktorej ukladá pokutu, či daná osoba bola odsúdená za trestný čin na úseku životného prostredia)</t>
  </si>
  <si>
    <t>·       Minerálne pramene SR</t>
  </si>
  <si>
    <t>·       Chránené stromy (CHS).Štátny zoznam osobitne chránených častí prírody a krajiny (ŠZOCHPaK) - časť chránené stromy, vrátane správnej priestorovej polohy</t>
  </si>
  <si>
    <t>·       Registre v gescii Národného lesníckeho centra</t>
  </si>
  <si>
    <t>·       Register podpôr (priame, projektové, štátna pomoc)  v gescii PPA. Možnosť elektronicky overiť či kontrolovaný subjekt dostal akúkoľvek podporu, za čo a kedy ju dostal a v akej výške</t>
  </si>
  <si>
    <t>·       Register  licencovaných krúžkov (ŠOP SR)</t>
  </si>
  <si>
    <t>·       Výsledky kontrol vykonávaných MPaRV SR</t>
  </si>
  <si>
    <t>·       Plán kontrol vykonávaných MPaRV SR</t>
  </si>
  <si>
    <t>·       Prehľad úradných kontrol vykonaných ŠVPS</t>
  </si>
  <si>
    <t>·       Registre prevádzkovateľov publikovaných ÚKSÚP</t>
  </si>
  <si>
    <t xml:space="preserve">·       Registre v gescii Úradu verejného zdravotníctva: </t>
  </si>
  <si>
    <t>o   Register - odbery a mikrobiologicke skúšanie vzoriek zo životného a pracovného prostredia</t>
  </si>
  <si>
    <t xml:space="preserve">o   Register - odbery a biologicke a ekotoxikologicke skúšanie vzoriek zo životného a pracovného prostredia </t>
  </si>
  <si>
    <t>o   Register - skúšanie vôd, ovzdušia</t>
  </si>
  <si>
    <t>o   Register - meranie prachu</t>
  </si>
  <si>
    <t>o   Register - meranie hluku a vibrácií</t>
  </si>
  <si>
    <t>o   Register výrobcov a dovozcov výživových doplnkov a potravín na osobitné výživové účely</t>
  </si>
  <si>
    <t>·       Zoznamy schválených/registrovaných potravinárskych prevádzkarní v gescii ŠVPS</t>
  </si>
  <si>
    <t>·       Zoznam dlžníkov na sociálnom poistení, resp. Register nedoplatkov subjektu na sociálnom poistení z IS CSRÚ</t>
  </si>
  <si>
    <t>·       Zoznam daňových dlžníkov, resp. Register daňových nedoplatkov z IS CSRÚ</t>
  </si>
  <si>
    <t>·       Zoznam dlžníkov na zdravotnom poistení, resp. Register nedoplatkov na zdravotnom poistení  z IS CSRÚ</t>
  </si>
  <si>
    <t>Očakávané integrácie alebo automatizovaný zber údajov:</t>
  </si>
  <si>
    <t>·       Iné relevantné registre v gescii MŽP</t>
  </si>
  <si>
    <t>Publikované datasety:</t>
  </si>
  <si>
    <t>·        Plán kontrol SIŽP</t>
  </si>
  <si>
    <t>·        Register výsledkov kontrol uskutočnených SIŽP</t>
  </si>
  <si>
    <t>·        Register rozhodnutí SIŽP</t>
  </si>
  <si>
    <t>·        Register kontrolovaných subjektov</t>
  </si>
  <si>
    <t>·        Register priestupkov FO</t>
  </si>
  <si>
    <t>·        Register správnych deliktov PO</t>
  </si>
  <si>
    <t>·        Register kontrolovaných skupín výrobkov</t>
  </si>
  <si>
    <t>·        Register integrovaných povolení</t>
  </si>
  <si>
    <t>Jednotlivé písomnosti vznikajúce v komunikácii s kontrolovaným subjektom budú automatizovane evidované v spise (Oznámenie o začatí kontroly, Zoznam podkladov). Bude zabezpečená integrácia s jestvujúcim registratúrnym systémom.</t>
  </si>
  <si>
    <t>1.2.7 Vypracovanie  výstupu z kontroly (Zápis z ohliadky, Priebežný/Čiastkový protokol, Záznam, Protokol)</t>
  </si>
  <si>
    <t>1.2.8 Príjem a spracovanie opodstatnených pripomienok (Vyjadrenie k námietkám, Dodatok k protokolu)</t>
  </si>
  <si>
    <t>Vypracovanie bude uľahčené predvyplnením dostupných informácií o kontrolovanom subjekte do šablón používaných v jednotlivých procesných krokoch (List k zamietnutiu pripomienok, Dodatkový protokol). Dokumenty budú elektronicky podpísané. Odoslanie bude zabezpečené integráciou z jestvujúcim registratúrnym systémom.</t>
  </si>
  <si>
    <t>Vypracovanie Zápisnice z prerokovania protokolu bude uľahčené predvyplnením dostupných informácií. Zápisnica bude elektronicky podpísaná. Odoslanie bude zabezpečené integráciou z jestvujúcim registratúrnym systémom.</t>
  </si>
  <si>
    <t>1.2.9 Prerokovanie výstupu z kontroly s kontrolovaným subjektom</t>
  </si>
  <si>
    <t>2.6 Príjem a pridelenie odvolania (v registratúrnom systéme)</t>
  </si>
  <si>
    <t>2.8 Vypracovaniezápisnice z ústneho pojednávania (len ak sa ústne pojednávanie konalo)</t>
  </si>
  <si>
    <t>2.10 Zverejňovanie výsledkov povoľovacej činnosti</t>
  </si>
  <si>
    <t>Na podanie žiadosti bude použitý elektronický formulár. Elektronická úhrada správneho poplatku bude automaticky spárovaná. Na prípadné vypracovanie zápisnice z ústného pojednávania a na vydanie rozhodnutia sa využije predvyplnená šablóna IS KSED.</t>
  </si>
  <si>
    <t>1. Budúci proces výkonu kontroly predpokladá vybavenie inšpektora odolným tabletom evidujúcim v off-line / on-line režime všetky informácie získané v prípravnej fáze, vrátane mapových podkladov. Po získaní pripojenia začne automaticky upload údajov vzniknutých v off-line režime do IS KSED.</t>
  </si>
  <si>
    <t>2.7 Vypracovanie návrhu stanoviska k odvolaniu</t>
  </si>
  <si>
    <t>2.9 Vydanie rozhodnutia k odvolaniu</t>
  </si>
  <si>
    <t>5. Prijatie podnetu mobilnou aplikáciou
6. Poskytnutie informácie o vybavení podnetu cez mobilnú aplikáciu.</t>
  </si>
  <si>
    <t>1. Podporovanie povoľovacej činnosti podľa zákona o IPK
2. Podporovanie povoľovacej činnosti podľa stavebného zákona
3. Podporovanie schválenia havarijného plánu podľa vodného zákona
4. Podporovanie inšpekčnej činnosti SIŽP
7. Uloženie sankcie za porušenie predpisov v oblasti ochrany ŽP
8. Spracovanie odvolania voči sankcii za porušenie predpisov v oblasti ŽP
9. Spracovanie odvolania voči zamietnutiu žiadosti o integrované povolenie</t>
  </si>
  <si>
    <t>Ročné</t>
  </si>
  <si>
    <t>Kumulované</t>
  </si>
  <si>
    <t>Rok návratnosti</t>
  </si>
  <si>
    <t>Celkové výdavky</t>
  </si>
  <si>
    <t>Výdavky - Agendové IS</t>
  </si>
  <si>
    <t>Upravené konverzným faktorom 1,2</t>
  </si>
  <si>
    <t>Riešenie má spĺňať bezpečnostné štandardy pre vládny cloud</t>
  </si>
  <si>
    <t>id</t>
  </si>
  <si>
    <t>názov</t>
  </si>
  <si>
    <t>popis</t>
  </si>
  <si>
    <t>Modernizácia</t>
  </si>
  <si>
    <t>zoštíhlenie, resp. iný typ vylepšenia existujúceho dizajnu procesov – vynechanie, nahradenie, zlúčenie procesov, aktivít, aktérov a pod.</t>
  </si>
  <si>
    <t>Sfunkčnenie</t>
  </si>
  <si>
    <t>umožnenie vykonať určitú povinnosť (odstránenie nevykonateľnosti)</t>
  </si>
  <si>
    <t>Zjednotenie</t>
  </si>
  <si>
    <t>zaistenie konsolidácie postupov vykonávaných rôznymi inštanciami rovnakého typu aktéra</t>
  </si>
  <si>
    <t>Centralizácia</t>
  </si>
  <si>
    <t xml:space="preserve">zníženie nákladov zavedením spoločnej prevádzky, podpory, metodiky a tiež predpoklad na elimináciu princípu miestnej príslušnosti (súvisí tiež so zjednotením, transparentnosťou a bezpečnosťou) </t>
  </si>
  <si>
    <t>Elektronizácia</t>
  </si>
  <si>
    <t>náhrada „papierových“ údajov (verejné listiny, žiadosti, rozhodnutia a pod.) elektronickými</t>
  </si>
  <si>
    <t>Automatizácia</t>
  </si>
  <si>
    <t>zrýchlenie, zvýšenie spoľahlivosti a kvality (chybovosti) procesov odstránením manuálnych krokov (spracovanie, rozhodovanie)</t>
  </si>
  <si>
    <t>Bezpečnosť</t>
  </si>
  <si>
    <t>schopnosť zaistiť dôvernosť, integritu a dostupnosť procesov a ich údajov</t>
  </si>
  <si>
    <t>Auditovateľnosť</t>
  </si>
  <si>
    <t>schopnosť dodatočne zrekonštruovať priebeh procesu (kto, čo, kedy)</t>
  </si>
  <si>
    <t>Transparentnosť</t>
  </si>
  <si>
    <t>schopnosť dodatočne preukázať, že proces bol vykonaný v súlade s pravidlami a požiadavkami</t>
  </si>
  <si>
    <t>Analyzovatelnosť</t>
  </si>
  <si>
    <t>dostupnosť relevantných údajov a ich spracovanie pre umožnenie informovaného rozhodovania</t>
  </si>
  <si>
    <t>Integrácia</t>
  </si>
  <si>
    <t>elektronické prepojenie systémov na okolitý eGovernment ako aj interne medzi systémami rezortu</t>
  </si>
  <si>
    <t>Proaktivita</t>
  </si>
  <si>
    <t xml:space="preserve">automatické preventívne iniciovanie komunikácie medzi procesom a aktérom – človekom (napr. rôzne notifikácie) </t>
  </si>
  <si>
    <t>Inšpekčná činnosť</t>
  </si>
  <si>
    <t>[hod]</t>
  </si>
  <si>
    <t>Inšpekcia ochrany ovzdušia</t>
  </si>
  <si>
    <t>Vypracovanie výstupu z kontroly (protokol, správa)</t>
  </si>
  <si>
    <t>Vypracovanie výstupu z kontroly (záznam, správa)</t>
  </si>
  <si>
    <t>Počet kontrol so zistením</t>
  </si>
  <si>
    <t>Počet kontrol s pokutou</t>
  </si>
  <si>
    <t>Počet kontrol s odvolaním</t>
  </si>
  <si>
    <t>% výskytu činnosti v typickom procese</t>
  </si>
  <si>
    <t>Všetky oblasti inšpekcií spolu</t>
  </si>
  <si>
    <t>Inšpekcia odpadového hospodárstva</t>
  </si>
  <si>
    <t>Inšpekcia ochrany prírody a krajiny</t>
  </si>
  <si>
    <t>Inšpekcia biologickej bezpečnosti</t>
  </si>
  <si>
    <t>Integrované povoľovanie a kontrola</t>
  </si>
  <si>
    <t>Slovnaft, LDPE4 - Nová výrobnňa polyetylénu, 2370-13658/37/2013/Tot,Heg/370190306</t>
  </si>
  <si>
    <t>Procesy na strane občana / podnikateľa neboli merané. Potenciálne úspory nevstúpili do CBA.</t>
  </si>
  <si>
    <t>Optimalizačné opatrenia</t>
  </si>
  <si>
    <t>A</t>
  </si>
  <si>
    <t>N</t>
  </si>
  <si>
    <t>Vypracovanie zápisnice z prerokovania výstupu z kontroly</t>
  </si>
  <si>
    <t>Zdroj 1</t>
  </si>
  <si>
    <t>Zdroj 2</t>
  </si>
  <si>
    <t>Zdroj 3</t>
  </si>
  <si>
    <t>Zdroj 4</t>
  </si>
  <si>
    <t>Zdroj 5</t>
  </si>
  <si>
    <t>Zdroj 6</t>
  </si>
  <si>
    <t>ρ</t>
  </si>
  <si>
    <t>Trvanie spolu</t>
  </si>
  <si>
    <t>Zvýšenie počtu kontrol vďaka zvýšeniu počtu zamestnancov</t>
  </si>
  <si>
    <t>Počet inšpektorov (bez vedúcich zamestancov)</t>
  </si>
  <si>
    <t>Počet vedúcich zamestancov vykonávajúcich aj inšpekčnú činnosť</t>
  </si>
  <si>
    <t>% využitia času inšpektorov na inšpekčnú činnosť</t>
  </si>
  <si>
    <t>% využitia času týchto vedúcich zamestancov na inšpekčnú činnosť</t>
  </si>
  <si>
    <t>Kapacita inšpektorov</t>
  </si>
  <si>
    <t>Kapacita vedúcich zamestnancov vykonávajúcich aj inšpekčnú činnosť</t>
  </si>
  <si>
    <t>Kapacita spolu</t>
  </si>
  <si>
    <t>Dodatotční zamestnanci pre organizačnú zložku analýzy rizík, v zmysle Reformného zámeru str. 31</t>
  </si>
  <si>
    <t>Celkový prírastok počtu kontrol</t>
  </si>
  <si>
    <t>Vrátane prírastku počtu kontrol vďaka zvýšeniu počtu zamestancov</t>
  </si>
  <si>
    <t>Inšpekcia ochrany vôd</t>
  </si>
  <si>
    <t>↑ Zmena ENPV v analýze citlivosti</t>
  </si>
  <si>
    <t>Zmena pri analýze citlivosti:</t>
  </si>
  <si>
    <t>Relatívny prírastok počtu kontrol</t>
  </si>
  <si>
    <t>10. Poskytnutie informácie o výsledkoch inšpekčnej, povoľovacej a sankčnej činnosti SIŽP</t>
  </si>
  <si>
    <t>a</t>
  </si>
  <si>
    <t>Zistené za prípravu vcelku, vykázané pod oboznámením sa s predchádzajúcimi zisteniami</t>
  </si>
  <si>
    <t>b</t>
  </si>
  <si>
    <t>Zahrnuté do oznámenia o začatí kontroly</t>
  </si>
  <si>
    <t>c</t>
  </si>
  <si>
    <t>Mimo rozsahu projektu</t>
  </si>
  <si>
    <t>d</t>
  </si>
  <si>
    <t>Zahrnuté do prípravy protokolu</t>
  </si>
  <si>
    <t>Prijatie oznámenia MZV</t>
  </si>
  <si>
    <t>Príprava na kontrolu pred vydaním poverenia</t>
  </si>
  <si>
    <t>Vystavenie poverenia</t>
  </si>
  <si>
    <t>Oboznámenie sa s predchádzajúcimi zisteniami</t>
  </si>
  <si>
    <t>Oboznámenie sa s výškou predchádzajúcich sankcií</t>
  </si>
  <si>
    <t>Oboznámenie sa s uhrádzaním sankcií</t>
  </si>
  <si>
    <t>Oboznámenie sa s plnením nápravných opatrení</t>
  </si>
  <si>
    <t>Zber externých údajov pri príprave kontroly</t>
  </si>
  <si>
    <t>Vypracovanie oznámenia o začatí kontroly</t>
  </si>
  <si>
    <t>Vypracovanie zoznamu požadovanej dokumentácie</t>
  </si>
  <si>
    <t>Vypracovanie zoznamu kontrolných otázok</t>
  </si>
  <si>
    <t>Administratívna príprava kontroly</t>
  </si>
  <si>
    <t>Uloženie dôkazov z ohliadky do spisu</t>
  </si>
  <si>
    <t>Vypracovanie zápisu z ohliadky / čiastkového / priebežného protokolu</t>
  </si>
  <si>
    <t>Vypracovanie stanoviska k pripomienkam kontrolovaného subjektu</t>
  </si>
  <si>
    <t>Ukončenie spisu</t>
  </si>
  <si>
    <t>Vypracovanie a zaslanie oznámenia o začatí správneho konania</t>
  </si>
  <si>
    <t>Vypracovanie zápisnice z ústneho pojednávania</t>
  </si>
  <si>
    <t>Vypracovanie upovedomenia o postúpení odvolania</t>
  </si>
  <si>
    <t>Žurnalizácia spisu</t>
  </si>
  <si>
    <t>Vypracovanie rozhodnutia o odvolaní</t>
  </si>
  <si>
    <t>Vypracovanie rozhodnutia o sankcii</t>
  </si>
  <si>
    <t>Počet kontrol celkom</t>
  </si>
  <si>
    <t>Vypracovanie predkladacej správy k odvolaniu</t>
  </si>
  <si>
    <t>Vážené trvanie</t>
  </si>
  <si>
    <t>Ostatné predmety kontrol</t>
  </si>
  <si>
    <t>ρ trvania</t>
  </si>
  <si>
    <t>Nerozčlenené podnety</t>
  </si>
  <si>
    <t>BVS, a.s., Mimoriadne zhoršenie vôd, 053/015/2016/BA</t>
  </si>
  <si>
    <t>HANYX s.r.o. Lučenec, Podnet - subjekt vykonáva mobilný zber a prepravu komunálneho odpadu bez zmluvy s mestom (Kontrola obcí pri nakladaní s komunálnym odpadom), 8212-36652/44/2017/Kov</t>
  </si>
  <si>
    <t>Eko-Donau s.r.o., Preverenie legálnosti výrubu drevín, 5442/2018</t>
  </si>
  <si>
    <t>Štefan Fraňo, Ochrana ohrozených druhov, ktoré sú predmetom dohovoru CITES, 7840/2017</t>
  </si>
  <si>
    <t>PF UK, Kontrola uzavretých priestorov, 3651/2018</t>
  </si>
  <si>
    <t>AUTOGRAND, a.s., Zaobchádzanie so znečisťujúcimi látkami, 1045/2017</t>
  </si>
  <si>
    <t>ETI ELB, s.r.o. Báhoň, Nakladanie s vodami a prevádzku a účinnosť ČOV, 6419/2017</t>
  </si>
  <si>
    <t>VOLKSWAGEN, SLOVAKIA, a.s., Prevencia závažných priemyselných havárií, 5220/2018</t>
  </si>
  <si>
    <t>Modelovaný spis kontroly veľkého zdroja diskusiou s inšpektorom</t>
  </si>
  <si>
    <t>BIO-plus, s.r.o., Kontrola kvality palív, 1020/2018</t>
  </si>
  <si>
    <t>3U, s.r.o. Bratislava - výrobca regulovaných výrobkov, Kontrola kvality regulovaných výrobkov, 6765-25699/33/2018/Tom</t>
  </si>
  <si>
    <t>MAKOS, a.s. Bardejov, Kontrola emisie skleníkových plynov, kontrola: 4828-15367/53/2017/Kve
spravne konanie: 7490-33731/Ulb
odvolanie: 1110-2247/Šte</t>
  </si>
  <si>
    <t>Jozef Gregor, EKO TRANS, Pezinok, prevádzka Pod gaštanmi, Bratislava, Kontrola pôvodcov a držiteľov odpadov, 4087/2018</t>
  </si>
  <si>
    <t>Alfafin Plus, s.r.o., prevádzka Lehnice, Kontrola prevádzkovateľov zariadení na zber odpadov, 5566/2018
8159/2018</t>
  </si>
  <si>
    <t>BIOPRODUKT Dunajský Klátov, s.r.o., Dunajský Klátov, Kontrola prevádzkovateľov zariadení na zhodnocovanie odpadov, 3572/2018
8182/2018</t>
  </si>
  <si>
    <t>František Karkes, Senec, Používanie GT a GMO zámerným uvoľňovaním, 4785/2017</t>
  </si>
  <si>
    <t>Považská cementáreň, a.s. , Environmentálne označovanie výrobkov, 5706/2018</t>
  </si>
  <si>
    <t>TERMMING, a.s. Bratislava, Kotolňa Železničná - kotle na spaľovanie biomasy, 5809-24751/33/2018/Fia, Kontrola stredného zdroja, 5809-24751/33/2018/Fia</t>
  </si>
  <si>
    <t>Meranie</t>
  </si>
  <si>
    <t>Trvanie [h]</t>
  </si>
  <si>
    <t>Počet [n]</t>
  </si>
  <si>
    <t>h*n</t>
  </si>
  <si>
    <t>Počet kumulatívny</t>
  </si>
  <si>
    <t>n*(h-E(x))^2</t>
  </si>
  <si>
    <t>Priemer</t>
  </si>
  <si>
    <t>Stredná hodnota (medián)</t>
  </si>
  <si>
    <t>Rozptyl</t>
  </si>
  <si>
    <t>Štandardná odchýlka</t>
  </si>
  <si>
    <t>SLOVMAS, a.s., Bratislava, Kontrola povinností rozšírenej zodpovednosti výrobcov, 3970/2017</t>
  </si>
  <si>
    <t>Počet kontrol so zistením porušenia predpisov</t>
  </si>
  <si>
    <t>Priemerná pokuta na kontrolu so zistením porušenia predpisov</t>
  </si>
  <si>
    <t>Uložené pokuty</t>
  </si>
  <si>
    <t>Suma pokút uložená v r. 2017 za zistenia r. 2017</t>
  </si>
  <si>
    <t>Percento zvýšenia kapacity</t>
  </si>
  <si>
    <t>Prírastok kontrol vďaka zvýšeniu kapacity</t>
  </si>
  <si>
    <t>Jednotková cena (eur) s DPH</t>
  </si>
  <si>
    <t>Rate FTE externé (s DPH)</t>
  </si>
  <si>
    <t>Náklady na obstaranie a prevádzku HW (s DPH)</t>
  </si>
  <si>
    <t>Náklady na obstaranie a prevádzku SW (s DPH)</t>
  </si>
  <si>
    <t>Náklady na budúce riešenie (s DPH)</t>
  </si>
  <si>
    <t>Náklady na existujúce riešenie (s DPH)
(pôvodné riešenie pred realizáciou projektu OP II), ktoré bolo nahradené</t>
  </si>
  <si>
    <t>Rozdiel v nákladoch medzi existujúcim a navrhovaným riešením (s DPH)</t>
  </si>
  <si>
    <t>Poznámka spracovateľa CBA: Ekonomické prínosy sú v tomto hárku v súlade so šablónou CBA uvedené bez konverzného faktora.</t>
  </si>
  <si>
    <t>Poznámka spracovateľa CBA: Ekonomický cashflow je v tomto hárku v súlade so šablónou CBA uvedený vrátane faktora.</t>
  </si>
  <si>
    <t>Sadzba DPH</t>
  </si>
  <si>
    <t>Celková suma (eur) s DPH</t>
  </si>
  <si>
    <t>Suma externé (s DPH)</t>
  </si>
  <si>
    <t>Spolu projekt</t>
  </si>
  <si>
    <t>Modul Integrované povoľovanie</t>
  </si>
  <si>
    <t>Modul Kontrolná činnosť - odpadové hospodárstvo</t>
  </si>
  <si>
    <t>Modul Riadenie interných procesných služieb </t>
  </si>
  <si>
    <t>Modul Plánovanie kontrolných činností</t>
  </si>
  <si>
    <t>Modul Správne konanie</t>
  </si>
  <si>
    <t>Modul Analýzy</t>
  </si>
  <si>
    <t>Modul Podnety</t>
  </si>
  <si>
    <t>Modul Vyhodnocovanie  a reporting</t>
  </si>
  <si>
    <t>Rozklad nákladov vývoja agendového IS KSED na moduly:</t>
  </si>
  <si>
    <t>Zdrojom ceny su cenníky, znížené o 35 percent podľa benchmarku UHP. Pôvodná cena bola 1200</t>
  </si>
  <si>
    <t>Zdrojom ceny su cenníky, znížené o 35 percent podľa benchmarku UHP. Pôvodná cena bola 84</t>
  </si>
  <si>
    <t>Zdrojom ceny su cenníky, znížené o 35 percent podľa benchmarku UHP. Pôvodná cena bola 1800</t>
  </si>
  <si>
    <t>Zdrojom ceny su cenníky, znížené o 35 percent podľa benchmarku UHP. Pôvodná cena bola 21600</t>
  </si>
  <si>
    <t>Zdrojom ceny su cenníky, znížené o 35 percent podľa benchmarku UHP. Pôvodná cena bola 120</t>
  </si>
  <si>
    <t>Projektový manažér</t>
  </si>
  <si>
    <t>Work</t>
  </si>
  <si>
    <t>Projektový manažér IT projektu</t>
  </si>
  <si>
    <t>Business analytik</t>
  </si>
  <si>
    <t>IT analytik</t>
  </si>
  <si>
    <t>Analytik</t>
  </si>
  <si>
    <t>Programátor</t>
  </si>
  <si>
    <t>IT programátor/vývojár</t>
  </si>
  <si>
    <t>Tester</t>
  </si>
  <si>
    <t>IT tester</t>
  </si>
  <si>
    <t>Administrátor</t>
  </si>
  <si>
    <t>Špecialista pre infraštruktúry/HW špecialista</t>
  </si>
  <si>
    <t>Školiteľ</t>
  </si>
  <si>
    <t>Školiteľ pre IT systémy</t>
  </si>
  <si>
    <t>Dokumentarista</t>
  </si>
  <si>
    <t>Iné (pozícia, ktorú nie je možné zaradiť do vyššie uvedených pozícií)</t>
  </si>
  <si>
    <t>Expert na kvalitu</t>
  </si>
  <si>
    <t>Odborník pre IT dohľad/ Quality Assurance</t>
  </si>
  <si>
    <t>Expert na informačnú bezpečnosť</t>
  </si>
  <si>
    <t>Špecialista pre bezpečnosť IT</t>
  </si>
  <si>
    <t>Blended rate</t>
  </si>
  <si>
    <t>Zaokrúhlený rate</t>
  </si>
  <si>
    <t>Poznámka: Percentuálne využitie cca zohľadňuje jednotlivé fázy projektu (stĺpec C v pomernom vyjadrení), avšak nie presne, lebo vo fázach je samozrejme využívaných viacero rolí (napr. analytici sa používajú aj pri vývoji).</t>
  </si>
  <si>
    <t>Vyplní oslovený dodávateľ - ALFABASE</t>
  </si>
  <si>
    <t>1. Agendový informačný systém KSED (AIS KSED)</t>
  </si>
  <si>
    <t>2. Mobilný Agendový informačný systém KSED</t>
  </si>
  <si>
    <t>3. Verejný portál KSED</t>
  </si>
  <si>
    <t>4. Mobilná aplikácia Podnety</t>
  </si>
  <si>
    <t>5. Integračné rozhrania</t>
  </si>
  <si>
    <t>Vyplní oslovený dodávateľ - YMS</t>
  </si>
  <si>
    <t>x</t>
  </si>
  <si>
    <t>MS SQL Server</t>
  </si>
  <si>
    <t>X</t>
  </si>
  <si>
    <t>MS Sharepoint</t>
  </si>
  <si>
    <t>MS Sharepoint CAL</t>
  </si>
  <si>
    <t>Vyplní oslovený dodávateľ - ASPECTA</t>
  </si>
  <si>
    <t>Percentualne priradenie</t>
  </si>
  <si>
    <t>Spoločné funkcionality a projektové riadenie</t>
  </si>
  <si>
    <t>Priemerný počet MD</t>
  </si>
  <si>
    <t>Priemerné MD z slepých rozpočtov</t>
  </si>
  <si>
    <t>Spolu MDs na modul</t>
  </si>
  <si>
    <t>1.1 Analýza a návrh</t>
  </si>
  <si>
    <t>1.2 Vývoj</t>
  </si>
  <si>
    <t>1.3 Testovanie</t>
  </si>
  <si>
    <t>1.4 Dokumentácia</t>
  </si>
  <si>
    <t>1.5 Migrácia údajov</t>
  </si>
  <si>
    <t>1.6 Nasadenie do rutinnej prevádzky</t>
  </si>
  <si>
    <t>1.1 Analýza a návrh - analytik</t>
  </si>
  <si>
    <t>1.2 Vývoj - programátor</t>
  </si>
  <si>
    <t>1.3 Testovanie - tester</t>
  </si>
  <si>
    <t>1.4 Dokumentácia - dokumentarista</t>
  </si>
  <si>
    <t>1.5 Migrácia údajov - programátor</t>
  </si>
  <si>
    <t>1.6 Nasadenie do rutinnej prevádzky - administrátor</t>
  </si>
  <si>
    <t>Modul Riadenie interných procesných služieb</t>
  </si>
  <si>
    <t>2.1 Analýza a návrh</t>
  </si>
  <si>
    <t>2.2 Vývoj</t>
  </si>
  <si>
    <t>2.3 Testovanie</t>
  </si>
  <si>
    <t>2.4 Dokumentácia</t>
  </si>
  <si>
    <t>2.5 Nasadenie do rutinnej prevádzky</t>
  </si>
  <si>
    <t>3.1 Analýza a návrh</t>
  </si>
  <si>
    <t>3.2 Vývoj</t>
  </si>
  <si>
    <t>3.3 Testovanie</t>
  </si>
  <si>
    <t>3.4 Dokumentácia</t>
  </si>
  <si>
    <t>3.5 Migrácia údajov</t>
  </si>
  <si>
    <t>3.6 Nasadenie do rutinnej prevádzky</t>
  </si>
  <si>
    <t>4.1 Analýza a návrh</t>
  </si>
  <si>
    <t>4.2 Vývoj</t>
  </si>
  <si>
    <t>4.3 Testovanie</t>
  </si>
  <si>
    <t>4.4 Dokumentácia</t>
  </si>
  <si>
    <t>4.5 Nasadenie do rutinnej prevádzky</t>
  </si>
  <si>
    <t>5.1 Analýza a návrh</t>
  </si>
  <si>
    <t>5.2 Vývoj</t>
  </si>
  <si>
    <t>5.3 Testovanie</t>
  </si>
  <si>
    <t>5.4 Dokumentácia</t>
  </si>
  <si>
    <t>5.5 Nasadenie do rutinnej prevádzky</t>
  </si>
  <si>
    <t xml:space="preserve">6.1 Projektové riadenie </t>
  </si>
  <si>
    <t>Modul Kontrolná činnosť</t>
  </si>
  <si>
    <t>5. Integračné rozhrania a spoločné funkcionality</t>
  </si>
  <si>
    <t>Podporné aktivity</t>
  </si>
  <si>
    <t>5.6 Analýza a návrh - návrh a audit bezpečnostnej architektúry</t>
  </si>
  <si>
    <t>5.7 Analýza a návrh - IT dohľad (quality assurance)</t>
  </si>
  <si>
    <t>Druh aktivity</t>
  </si>
  <si>
    <t>Modul MetaIS</t>
  </si>
  <si>
    <t>Interný agendový informačný systém KSED</t>
  </si>
  <si>
    <t>Mobilná aplikácia KSED</t>
  </si>
  <si>
    <t xml:space="preserve"> Mobilný agendový informačný systém KSED</t>
  </si>
  <si>
    <t>Spoločné komponenty</t>
  </si>
  <si>
    <t>Row Labels</t>
  </si>
  <si>
    <t>(blank)</t>
  </si>
  <si>
    <t>Grand Total</t>
  </si>
  <si>
    <t>Sum of Suma externé (s DPH)</t>
  </si>
  <si>
    <t>5.8 Školenia</t>
  </si>
  <si>
    <t>Pocet MDs</t>
  </si>
  <si>
    <t>SLA na prevádzku</t>
  </si>
  <si>
    <t>Podporné aktivity spolu</t>
  </si>
  <si>
    <t>Suma pokút uložená v r. 2017</t>
  </si>
  <si>
    <t>Z toho pokuty uložené v r. 2017 za zistenia kontrol vykonaných v r. 2016</t>
  </si>
  <si>
    <t>Priemerná pokuta</t>
  </si>
  <si>
    <t xml:space="preserve">c </t>
  </si>
  <si>
    <t>TANYA TRANS, s.r.o. Ľuda Zúbka, 901 01 Malacky , Mimoriadne zhoršenie vôd, 109/012/2018/NR</t>
  </si>
  <si>
    <t>ADDA spol.s.r.o, Slamkova14, 949 07 Nitra - Janíkovce, Chemický zákon, 7262/2018</t>
  </si>
  <si>
    <t>Nidec Global Appliance Slovakia, s.r.o., Zlaté Moravce - kontrola na základe vlastného kontrolného diskontinuálneho merania, nedodržanie EL, Kontrola stredného zdroja, 6423 - 23451/33/2018/Fia</t>
  </si>
  <si>
    <t>Color de Luxe, s.r.o. Bratislava, Kontrola kvality regulovaných výrobkov, 4083-9829/33/2018/Tom</t>
  </si>
  <si>
    <t>CARS Prešov, s.r.o., Prešov, prevádzka Strojnícka 19, Prešov, Kontrola pôvodcov a držiteľov odpadov, 8404/2017</t>
  </si>
  <si>
    <t>ENVI-PACK, a.s., Bratislava, Kontrola povinností rozšírenej zodpovednosti výrobcov, 7209/2017</t>
  </si>
  <si>
    <t>Komposesorát Vojka s.r.o., Preverenie legálnosti realizácie oplotenia v chránenom území, 3006/2018</t>
  </si>
  <si>
    <t>Marián Imrišek, Ochrana ohrozených druhov, ktoré sú predmetom dohovoru CITES, 38/2019</t>
  </si>
  <si>
    <t>Farma Majcikov, Používanie GT a GMO zámerným uvoľňovaním, 6121/2018</t>
  </si>
  <si>
    <t xml:space="preserve">Drogéria u Spuchláka, Malacky, Environmentálne označovanie, </t>
  </si>
  <si>
    <t>Stredná hodnota (medián) 0</t>
  </si>
  <si>
    <t>Stredná hodnota (medián) 1</t>
  </si>
  <si>
    <t>Počet kumulatívny 2</t>
  </si>
  <si>
    <t>Minimum</t>
  </si>
  <si>
    <t>Maximum</t>
  </si>
  <si>
    <t>% počtu kontrol so zistením porušenia predpisov v TO 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</si>
</sst>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6" formatCode="#,##0\ &quot;€&quot;;[Red]\-#,##0\ &quot;€&quot;"/>
    <numFmt numFmtId="7" formatCode="#,##0.00\ &quot;€&quot;;\-#,##0.0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\ _€_-;\-* #,##0\ _€_-;_-* &quot;-&quot;??\ _€_-;_-@_-"/>
    <numFmt numFmtId="165" formatCode="0.0%"/>
    <numFmt numFmtId="166" formatCode="#,##0_ ;\-#,##0;\-;@"/>
    <numFmt numFmtId="167" formatCode="0.00;\-0.00;\-;@"/>
    <numFmt numFmtId="168" formatCode="#,##0.00\ &quot;€&quot;"/>
    <numFmt numFmtId="169" formatCode="#,##0\ &quot;€&quot;"/>
    <numFmt numFmtId="170" formatCode="#,##0\ &quot;€&quot;;\-#,##0\ &quot;€&quot;;[Green]#,##0\ &quot;€&quot;"/>
    <numFmt numFmtId="171" formatCode="#,##0.00\ &quot;€&quot;;\-#,##0.00\ &quot;€&quot;;[Green]#,##0.00\ &quot;€&quot;"/>
    <numFmt numFmtId="172" formatCode="#,##0.000"/>
    <numFmt numFmtId="173" formatCode="\+0%;\-0%;0%"/>
    <numFmt numFmtId="174" formatCode="\+#,##0;\-#,##0;0"/>
    <numFmt numFmtId="175" formatCode="#,##0.00_ ;\-#,##0.00;\-;@"/>
    <numFmt numFmtId="176" formatCode="_-* #,##0.00\ [$€-1]_-;\-* #,##0.00\ [$€-1]_-;_-* &quot;-&quot;??\ [$€-1]_-;_-@_-"/>
    <numFmt numFmtId="177" formatCode="_-* #,##0.00\ &quot;EUR&quot;_-;\-* #,##0.00\ &quot;EUR&quot;_-;_-* &quot;-&quot;??\ &quot;EUR&quot;_-;_-@_-"/>
    <numFmt numFmtId="178" formatCode="_-* #,##0\ &quot;€&quot;_-;\-* #,##0\ &quot;€&quot;_-;_-* &quot;-&quot;??\ &quot;€&quot;_-;_-@_-"/>
    <numFmt numFmtId="179" formatCode="\+#,##0;\-#,##0;#,##0"/>
    <numFmt numFmtId="180" formatCode="\+#,##0.000;\-#,##0.000;#,##0.000"/>
  </numFmts>
  <fonts count="94" x14ac:knownFonts="1">
    <font>
      <sz val="11"/>
      <color theme="1"/>
      <name val="Calibri"/>
      <family val="2"/>
      <charset val="238"/>
      <scheme val="minor"/>
    </font>
    <font>
      <sz val="9"/>
      <color theme="1"/>
      <name val="Consolas"/>
      <family val="2"/>
      <charset val="238"/>
    </font>
    <font>
      <sz val="11"/>
      <color theme="1"/>
      <name val="Calibri"/>
      <family val="2"/>
      <scheme val="minor"/>
    </font>
    <font>
      <sz val="9"/>
      <color theme="1"/>
      <name val="Consolas"/>
      <family val="2"/>
      <charset val="238"/>
    </font>
    <font>
      <sz val="11"/>
      <color theme="1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name val="Arial Narrow"/>
      <family val="2"/>
      <charset val="238"/>
    </font>
    <font>
      <sz val="11"/>
      <name val="Calibri"/>
      <family val="2"/>
      <charset val="238"/>
      <scheme val="minor"/>
    </font>
    <font>
      <sz val="11"/>
      <name val="Arial Narrow"/>
      <family val="2"/>
      <charset val="238"/>
    </font>
    <font>
      <sz val="11"/>
      <color rgb="FF00610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8"/>
      <color indexed="81"/>
      <name val="Tahoma"/>
      <family val="2"/>
      <charset val="238"/>
    </font>
    <font>
      <sz val="10"/>
      <color indexed="18"/>
      <name val="Arial"/>
      <family val="2"/>
      <charset val="238"/>
    </font>
    <font>
      <sz val="11"/>
      <color theme="1"/>
      <name val="Calibri"/>
      <family val="2"/>
      <charset val="238"/>
    </font>
    <font>
      <b/>
      <sz val="24"/>
      <color rgb="FF000000"/>
      <name val="Calibri"/>
      <family val="2"/>
      <charset val="238"/>
    </font>
    <font>
      <b/>
      <sz val="11"/>
      <color rgb="FF000000"/>
      <name val="Arial Narrow"/>
      <family val="2"/>
      <charset val="238"/>
    </font>
    <font>
      <i/>
      <sz val="11"/>
      <color rgb="FF000000"/>
      <name val="Arial Narrow"/>
      <family val="2"/>
      <charset val="238"/>
    </font>
    <font>
      <b/>
      <sz val="9"/>
      <color rgb="FF000000"/>
      <name val="Arial Narrow"/>
      <family val="2"/>
      <charset val="238"/>
    </font>
    <font>
      <i/>
      <sz val="9"/>
      <color rgb="FF000000"/>
      <name val="Arial Narrow"/>
      <family val="2"/>
      <charset val="238"/>
    </font>
    <font>
      <i/>
      <sz val="8"/>
      <color rgb="FF000000"/>
      <name val="Arial Narrow"/>
      <family val="2"/>
      <charset val="238"/>
    </font>
    <font>
      <b/>
      <sz val="8"/>
      <color rgb="FFFA7D00"/>
      <name val="Calibri"/>
      <family val="2"/>
      <charset val="238"/>
      <scheme val="minor"/>
    </font>
    <font>
      <sz val="9"/>
      <color rgb="FF006100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b/>
      <sz val="9"/>
      <color theme="0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9"/>
      <color theme="2" tint="-0.249977111117893"/>
      <name val="Calibri"/>
      <family val="2"/>
      <charset val="238"/>
      <scheme val="minor"/>
    </font>
    <font>
      <sz val="9"/>
      <name val="Arial"/>
      <family val="2"/>
      <charset val="238"/>
    </font>
    <font>
      <sz val="9"/>
      <color rgb="FFFA7D00"/>
      <name val="Calibri"/>
      <family val="2"/>
      <charset val="238"/>
      <scheme val="minor"/>
    </font>
    <font>
      <sz val="8"/>
      <color rgb="FFFA7D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1"/>
      <color theme="0" tint="-0.499984740745262"/>
      <name val="Calibri"/>
      <family val="2"/>
      <charset val="238"/>
      <scheme val="minor"/>
    </font>
    <font>
      <sz val="9"/>
      <color theme="0" tint="-0.499984740745262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sz val="11"/>
      <color rgb="FF006100"/>
      <name val="Arial Narrow"/>
      <family val="2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sz val="16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theme="5" tint="-0.249977111117893"/>
      <name val="Arial"/>
      <family val="2"/>
      <charset val="238"/>
    </font>
    <font>
      <sz val="11"/>
      <color theme="5" tint="-0.249977111117893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u/>
      <sz val="11"/>
      <color theme="5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5" tint="-0.249977111117893"/>
      <name val="Calibri"/>
      <family val="2"/>
      <charset val="238"/>
      <scheme val="minor"/>
    </font>
    <font>
      <b/>
      <sz val="11"/>
      <color theme="5" tint="-0.249977111117893"/>
      <name val="Calibri"/>
      <family val="2"/>
      <charset val="238"/>
      <scheme val="minor"/>
    </font>
    <font>
      <sz val="11"/>
      <color theme="5" tint="-0.499984740745262"/>
      <name val="Calibri"/>
      <family val="2"/>
      <charset val="238"/>
      <scheme val="minor"/>
    </font>
    <font>
      <b/>
      <sz val="11"/>
      <color theme="5" tint="-0.499984740745262"/>
      <name val="Calibri"/>
      <family val="2"/>
      <charset val="238"/>
      <scheme val="minor"/>
    </font>
    <font>
      <sz val="9"/>
      <color theme="5" tint="-0.249977111117893"/>
      <name val="Calibri"/>
      <family val="2"/>
      <charset val="238"/>
      <scheme val="minor"/>
    </font>
    <font>
      <b/>
      <sz val="8"/>
      <color indexed="81"/>
      <name val="Tahoma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9"/>
      <color theme="0" tint="-0.499984740745262"/>
      <name val="Arial"/>
      <family val="2"/>
      <charset val="238"/>
    </font>
    <font>
      <sz val="9"/>
      <color theme="0"/>
      <name val="Arial"/>
      <family val="2"/>
      <charset val="238"/>
    </font>
    <font>
      <sz val="9"/>
      <color theme="2" tint="-0.249977111117893"/>
      <name val="Arial"/>
      <family val="2"/>
      <charset val="238"/>
    </font>
    <font>
      <sz val="9"/>
      <color theme="5" tint="-0.249977111117893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9"/>
      <color theme="5" tint="-0.249977111117893"/>
      <name val="Arial"/>
      <family val="2"/>
      <charset val="238"/>
    </font>
    <font>
      <sz val="9"/>
      <color rgb="FFFF0000"/>
      <name val="Arial"/>
      <family val="2"/>
      <charset val="238"/>
    </font>
    <font>
      <sz val="10"/>
      <color theme="0" tint="-0.499984740745262"/>
      <name val="Arial"/>
      <family val="2"/>
      <charset val="238"/>
    </font>
    <font>
      <sz val="9"/>
      <color theme="4" tint="-0.499984740745262"/>
      <name val="Arial"/>
      <family val="2"/>
      <charset val="238"/>
    </font>
    <font>
      <sz val="11"/>
      <color rgb="FF00B05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color theme="1"/>
      <name val="Arial"/>
      <family val="2"/>
    </font>
    <font>
      <i/>
      <sz val="11"/>
      <color theme="1"/>
      <name val="Arial"/>
      <family val="2"/>
      <charset val="238"/>
    </font>
    <font>
      <sz val="11"/>
      <color theme="0" tint="-0.499984740745262"/>
      <name val="Arial"/>
      <family val="2"/>
      <charset val="238"/>
    </font>
  </fonts>
  <fills count="30">
    <fill>
      <patternFill patternType="none"/>
    </fill>
    <fill>
      <patternFill patternType="gray125"/>
    </fill>
    <fill>
      <patternFill patternType="solid">
        <fgColor rgb="FFA6A6A6"/>
        <bgColor indexed="64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7CE"/>
      </patternFill>
    </fill>
    <fill>
      <patternFill patternType="solid">
        <fgColor rgb="FFFFFFFF"/>
        <bgColor indexed="64"/>
      </patternFill>
    </fill>
    <fill>
      <patternFill patternType="solid">
        <fgColor theme="5"/>
        <bgColor indexed="64"/>
      </patternFill>
    </fill>
  </fills>
  <borders count="215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medium">
        <color indexed="64"/>
      </bottom>
      <diagonal/>
    </border>
    <border>
      <left/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medium">
        <color indexed="64"/>
      </left>
      <right style="thin">
        <color rgb="FF7F7F7F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/>
      <bottom style="medium">
        <color indexed="64"/>
      </bottom>
      <diagonal/>
    </border>
    <border>
      <left style="thin">
        <color rgb="FF7F7F7F"/>
      </left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medium">
        <color indexed="64"/>
      </right>
      <top/>
      <bottom style="thin">
        <color rgb="FF7F7F7F"/>
      </bottom>
      <diagonal/>
    </border>
    <border>
      <left/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/>
      <diagonal/>
    </border>
    <border>
      <left style="thin">
        <color rgb="FFB2B2B2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/>
      <right style="medium">
        <color indexed="64"/>
      </right>
      <top style="medium">
        <color indexed="64"/>
      </top>
      <bottom style="thin">
        <color rgb="FF7F7F7F"/>
      </bottom>
      <diagonal/>
    </border>
    <border>
      <left/>
      <right style="medium">
        <color indexed="64"/>
      </right>
      <top style="thin">
        <color rgb="FF7F7F7F"/>
      </top>
      <bottom style="thin">
        <color rgb="FF7F7F7F"/>
      </bottom>
      <diagonal/>
    </border>
    <border>
      <left/>
      <right style="medium">
        <color indexed="64"/>
      </right>
      <top style="thin">
        <color rgb="FF7F7F7F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thin">
        <color rgb="FF7F7F7F"/>
      </top>
      <bottom/>
      <diagonal/>
    </border>
    <border>
      <left/>
      <right style="thin">
        <color rgb="FFB2B2B2"/>
      </right>
      <top style="medium">
        <color indexed="64"/>
      </top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medium">
        <color indexed="64"/>
      </right>
      <top style="thin">
        <color rgb="FF7F7F7F"/>
      </top>
      <bottom style="medium">
        <color indexed="64"/>
      </bottom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/>
      <bottom style="thin">
        <color rgb="FF7F7F7F"/>
      </bottom>
      <diagonal/>
    </border>
    <border>
      <left/>
      <right style="medium">
        <color indexed="64"/>
      </right>
      <top style="medium">
        <color indexed="64"/>
      </top>
      <bottom style="thin">
        <color rgb="FFB2B2B2"/>
      </bottom>
      <diagonal/>
    </border>
    <border>
      <left/>
      <right style="medium">
        <color indexed="64"/>
      </right>
      <top style="thin">
        <color rgb="FFB2B2B2"/>
      </top>
      <bottom style="thin">
        <color rgb="FFB2B2B2"/>
      </bottom>
      <diagonal/>
    </border>
    <border>
      <left/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/>
      <right style="medium">
        <color indexed="64"/>
      </right>
      <top style="thin">
        <color indexed="64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/>
      <diagonal/>
    </border>
    <border>
      <left/>
      <right style="thin">
        <color rgb="FFB2B2B2"/>
      </right>
      <top style="thin">
        <color rgb="FFB2B2B2"/>
      </top>
      <bottom/>
      <diagonal/>
    </border>
    <border>
      <left style="medium">
        <color indexed="64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/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/>
      <top style="thin">
        <color rgb="FF7F7F7F"/>
      </top>
      <bottom style="medium">
        <color indexed="64"/>
      </bottom>
      <diagonal/>
    </border>
    <border>
      <left style="thin">
        <color rgb="FF7F7F7F"/>
      </left>
      <right/>
      <top style="medium">
        <color indexed="64"/>
      </top>
      <bottom/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B2B2B2"/>
      </left>
      <right style="thin">
        <color theme="2" tint="-0.249977111117893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theme="2" tint="-0.249977111117893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thin">
        <color theme="2" tint="-0.249977111117893"/>
      </right>
      <top style="medium">
        <color indexed="64"/>
      </top>
      <bottom style="thin">
        <color rgb="FFB2B2B2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medium">
        <color auto="1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medium">
        <color auto="1"/>
      </left>
      <right style="thin">
        <color theme="2" tint="-0.249977111117893"/>
      </right>
      <top style="thin">
        <color theme="2" tint="-0.249977111117893"/>
      </top>
      <bottom style="medium">
        <color auto="1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medium">
        <color auto="1"/>
      </bottom>
      <diagonal/>
    </border>
    <border>
      <left style="thin">
        <color theme="2" tint="-0.249977111117893"/>
      </left>
      <right style="medium">
        <color auto="1"/>
      </right>
      <top style="thin">
        <color theme="2" tint="-0.249977111117893"/>
      </top>
      <bottom style="medium">
        <color auto="1"/>
      </bottom>
      <diagonal/>
    </border>
    <border>
      <left style="thin">
        <color theme="2" tint="-0.249977111117893"/>
      </left>
      <right style="medium">
        <color auto="1"/>
      </right>
      <top style="thin">
        <color theme="2" tint="-0.249977111117893"/>
      </top>
      <bottom style="thin">
        <color theme="2" tint="-0.249977111117893"/>
      </bottom>
      <diagonal/>
    </border>
    <border>
      <left style="medium">
        <color indexed="64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/>
      <bottom style="thin">
        <color rgb="FFB2B2B2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 style="thin">
        <color rgb="FFB2B2B2"/>
      </left>
      <right style="thin">
        <color theme="2" tint="-0.249977111117893"/>
      </right>
      <top/>
      <bottom style="thin">
        <color rgb="FFB2B2B2"/>
      </bottom>
      <diagonal/>
    </border>
    <border>
      <left/>
      <right style="medium">
        <color indexed="64"/>
      </right>
      <top/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theme="2" tint="-0.249977111117893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/>
      <top style="medium">
        <color indexed="64"/>
      </top>
      <bottom style="medium">
        <color indexed="64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 style="thin">
        <color rgb="FFB2B2B2"/>
      </left>
      <right/>
      <top style="thin">
        <color rgb="FFB2B2B2"/>
      </top>
      <bottom style="medium">
        <color indexed="64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medium">
        <color indexed="64"/>
      </right>
      <top/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2" tint="-0.249977111117893"/>
      </left>
      <right/>
      <top style="thin">
        <color theme="2" tint="-0.249977111117893"/>
      </top>
      <bottom style="thin">
        <color theme="2" tint="-0.249977111117893"/>
      </bottom>
      <diagonal/>
    </border>
    <border>
      <left style="medium">
        <color indexed="64"/>
      </left>
      <right style="medium">
        <color indexed="64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medium">
        <color auto="1"/>
      </right>
      <top/>
      <bottom style="thin">
        <color theme="2" tint="-0.249977111117893"/>
      </bottom>
      <diagonal/>
    </border>
    <border>
      <left style="thin">
        <color rgb="FFB2B2B2"/>
      </left>
      <right/>
      <top/>
      <bottom style="thin">
        <color rgb="FFB2B2B2"/>
      </bottom>
      <diagonal/>
    </border>
    <border>
      <left style="medium">
        <color indexed="64"/>
      </left>
      <right style="medium">
        <color indexed="64"/>
      </right>
      <top/>
      <bottom style="thin">
        <color theme="2" tint="-0.249977111117893"/>
      </bottom>
      <diagonal/>
    </border>
    <border>
      <left style="medium">
        <color indexed="64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medium">
        <color auto="1"/>
      </right>
      <top style="thin">
        <color theme="2" tint="-0.24994659260841701"/>
      </top>
      <bottom style="thin">
        <color theme="2" tint="-0.24994659260841701"/>
      </bottom>
      <diagonal/>
    </border>
    <border>
      <left style="medium">
        <color indexed="64"/>
      </left>
      <right style="thin">
        <color theme="2" tint="-0.24994659260841701"/>
      </right>
      <top style="thin">
        <color theme="2" tint="-0.24994659260841701"/>
      </top>
      <bottom style="medium">
        <color indexed="64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medium">
        <color indexed="64"/>
      </bottom>
      <diagonal/>
    </border>
    <border>
      <left style="thin">
        <color theme="2" tint="-0.24994659260841701"/>
      </left>
      <right style="medium">
        <color auto="1"/>
      </right>
      <top style="thin">
        <color theme="2" tint="-0.24994659260841701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B2B2B2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theme="2" tint="-0.249977111117893"/>
      </top>
      <bottom style="medium">
        <color auto="1"/>
      </bottom>
      <diagonal/>
    </border>
    <border>
      <left style="medium">
        <color indexed="64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theme="2" tint="-0.24994659260841701"/>
      </left>
      <right style="medium">
        <color auto="1"/>
      </right>
      <top/>
      <bottom style="thin">
        <color theme="2" tint="-0.24994659260841701"/>
      </bottom>
      <diagonal/>
    </border>
    <border>
      <left style="medium">
        <color indexed="64"/>
      </left>
      <right style="medium">
        <color indexed="64"/>
      </right>
      <top/>
      <bottom style="thin">
        <color rgb="FFB2B2B2"/>
      </bottom>
      <diagonal/>
    </border>
    <border>
      <left style="thin">
        <color theme="2" tint="-0.249977111117893"/>
      </left>
      <right style="medium">
        <color indexed="64"/>
      </right>
      <top/>
      <bottom/>
      <diagonal/>
    </border>
    <border>
      <left style="thin">
        <color theme="2" tint="-0.249977111117893"/>
      </left>
      <right style="medium">
        <color auto="1"/>
      </right>
      <top style="thin">
        <color theme="2" tint="-0.249977111117893"/>
      </top>
      <bottom/>
      <diagonal/>
    </border>
    <border>
      <left style="medium">
        <color indexed="64"/>
      </left>
      <right style="thin">
        <color theme="2" tint="-0.24994659260841701"/>
      </right>
      <top style="medium">
        <color auto="1"/>
      </top>
      <bottom/>
      <diagonal/>
    </border>
    <border>
      <left style="thin">
        <color theme="2" tint="-0.24994659260841701"/>
      </left>
      <right style="thin">
        <color theme="2" tint="-0.24994659260841701"/>
      </right>
      <top style="medium">
        <color auto="1"/>
      </top>
      <bottom/>
      <diagonal/>
    </border>
    <border>
      <left style="thin">
        <color theme="2" tint="-0.2499465926084170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theme="2" tint="-0.249977111117893"/>
      </right>
      <top style="thin">
        <color theme="2" tint="-0.249977111117893"/>
      </top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/>
      <diagonal/>
    </border>
    <border>
      <left style="medium">
        <color indexed="64"/>
      </left>
      <right style="thin">
        <color theme="2" tint="-0.24994659260841701"/>
      </right>
      <top/>
      <bottom/>
      <diagonal/>
    </border>
    <border>
      <left style="thin">
        <color theme="2" tint="-0.24994659260841701"/>
      </left>
      <right style="thin">
        <color theme="2" tint="-0.24994659260841701"/>
      </right>
      <top/>
      <bottom/>
      <diagonal/>
    </border>
    <border>
      <left style="thin">
        <color theme="2" tint="-0.24994659260841701"/>
      </left>
      <right style="medium">
        <color auto="1"/>
      </right>
      <top/>
      <bottom/>
      <diagonal/>
    </border>
    <border>
      <left style="medium">
        <color auto="1"/>
      </left>
      <right style="thin">
        <color theme="2" tint="-0.249977111117893"/>
      </right>
      <top/>
      <bottom/>
      <diagonal/>
    </border>
    <border>
      <left style="thin">
        <color theme="2" tint="-0.249977111117893"/>
      </left>
      <right style="thin">
        <color theme="2" tint="-0.249977111117893"/>
      </right>
      <top/>
      <bottom/>
      <diagonal/>
    </border>
    <border>
      <left style="medium">
        <color auto="1"/>
      </left>
      <right style="thin">
        <color theme="2" tint="-0.249977111117893"/>
      </right>
      <top/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/>
      <bottom style="thin">
        <color theme="2" tint="-0.249977111117893"/>
      </bottom>
      <diagonal/>
    </border>
    <border>
      <left style="medium">
        <color indexed="64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medium">
        <color indexed="64"/>
      </right>
      <top style="thin">
        <color theme="0" tint="-0.24994659260841701"/>
      </top>
      <bottom/>
      <diagonal/>
    </border>
    <border>
      <left style="medium">
        <color indexed="64"/>
      </left>
      <right style="thin">
        <color theme="2" tint="-0.24994659260841701"/>
      </right>
      <top style="thin">
        <color theme="2" tint="-0.24994659260841701"/>
      </top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/>
      <diagonal/>
    </border>
    <border>
      <left style="thin">
        <color theme="2" tint="-0.24994659260841701"/>
      </left>
      <right style="medium">
        <color auto="1"/>
      </right>
      <top style="thin">
        <color theme="2" tint="-0.24994659260841701"/>
      </top>
      <bottom/>
      <diagonal/>
    </border>
    <border>
      <left style="medium">
        <color indexed="64"/>
      </left>
      <right style="medium">
        <color indexed="64"/>
      </right>
      <top style="thin">
        <color rgb="FFB2B2B2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B1BBCC"/>
      </left>
      <right style="thin">
        <color rgb="FFB1BBCC"/>
      </right>
      <top style="thin">
        <color rgb="FFB1BBCC"/>
      </top>
      <bottom style="thin">
        <color rgb="FFB1BBCC"/>
      </bottom>
      <diagonal/>
    </border>
    <border>
      <left style="thin">
        <color theme="2" tint="-0.249977111117893"/>
      </left>
      <right/>
      <top style="thin">
        <color theme="2" tint="-0.249977111117893"/>
      </top>
      <bottom/>
      <diagonal/>
    </border>
  </borders>
  <cellStyleXfs count="20">
    <xf numFmtId="0" fontId="0" fillId="0" borderId="0"/>
    <xf numFmtId="0" fontId="9" fillId="3" borderId="0" applyNumberFormat="0" applyBorder="0" applyAlignment="0" applyProtection="0"/>
    <xf numFmtId="0" fontId="10" fillId="4" borderId="16" applyNumberFormat="0" applyAlignment="0" applyProtection="0"/>
    <xf numFmtId="0" fontId="5" fillId="5" borderId="17" applyNumberFormat="0" applyFont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61" fillId="0" borderId="0" applyNumberFormat="0" applyFill="0" applyBorder="0" applyAlignment="0" applyProtection="0"/>
    <xf numFmtId="44" fontId="5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77" fontId="5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3" fillId="0" borderId="0"/>
    <xf numFmtId="0" fontId="89" fillId="27" borderId="0" applyNumberFormat="0" applyBorder="0" applyAlignment="0" applyProtection="0"/>
    <xf numFmtId="0" fontId="13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218">
    <xf numFmtId="0" fontId="0" fillId="0" borderId="0" xfId="0"/>
    <xf numFmtId="0" fontId="6" fillId="2" borderId="1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justify" vertical="top" wrapText="1"/>
    </xf>
    <xf numFmtId="0" fontId="6" fillId="2" borderId="3" xfId="0" applyFont="1" applyFill="1" applyBorder="1" applyAlignment="1">
      <alignment horizontal="justify" vertical="top" wrapText="1"/>
    </xf>
    <xf numFmtId="0" fontId="7" fillId="0" borderId="0" xfId="0" applyFont="1" applyAlignment="1">
      <alignment vertical="top"/>
    </xf>
    <xf numFmtId="0" fontId="6" fillId="2" borderId="10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center" vertical="top"/>
    </xf>
    <xf numFmtId="0" fontId="0" fillId="0" borderId="0" xfId="0" applyAlignment="1">
      <alignment horizontal="left" vertical="top" wrapText="1"/>
    </xf>
    <xf numFmtId="0" fontId="0" fillId="6" borderId="0" xfId="0" applyFill="1" applyAlignment="1">
      <alignment horizontal="left" vertical="top" wrapText="1"/>
    </xf>
    <xf numFmtId="0" fontId="7" fillId="6" borderId="14" xfId="0" applyFont="1" applyFill="1" applyBorder="1" applyAlignment="1">
      <alignment horizontal="left" vertical="top" wrapText="1"/>
    </xf>
    <xf numFmtId="0" fontId="7" fillId="6" borderId="24" xfId="0" applyFont="1" applyFill="1" applyBorder="1" applyAlignment="1">
      <alignment horizontal="left" vertical="top" wrapText="1"/>
    </xf>
    <xf numFmtId="0" fontId="12" fillId="6" borderId="15" xfId="0" applyFont="1" applyFill="1" applyBorder="1" applyAlignment="1">
      <alignment horizontal="left" vertical="top" wrapText="1"/>
    </xf>
    <xf numFmtId="0" fontId="13" fillId="6" borderId="31" xfId="0" applyFont="1" applyFill="1" applyBorder="1" applyAlignment="1">
      <alignment horizontal="left" vertical="top" wrapText="1"/>
    </xf>
    <xf numFmtId="0" fontId="0" fillId="6" borderId="32" xfId="0" applyFill="1" applyBorder="1" applyAlignment="1">
      <alignment horizontal="left" vertical="top" wrapText="1"/>
    </xf>
    <xf numFmtId="0" fontId="0" fillId="7" borderId="15" xfId="0" applyFill="1" applyBorder="1" applyAlignment="1">
      <alignment vertical="top" wrapText="1"/>
    </xf>
    <xf numFmtId="0" fontId="0" fillId="7" borderId="26" xfId="0" applyFill="1" applyBorder="1" applyAlignment="1">
      <alignment vertical="top" wrapText="1"/>
    </xf>
    <xf numFmtId="0" fontId="14" fillId="7" borderId="5" xfId="0" applyFont="1" applyFill="1" applyBorder="1" applyAlignment="1">
      <alignment vertical="top" wrapText="1"/>
    </xf>
    <xf numFmtId="0" fontId="12" fillId="7" borderId="0" xfId="0" applyFont="1" applyFill="1" applyAlignment="1">
      <alignment horizontal="center" vertical="top" wrapText="1"/>
    </xf>
    <xf numFmtId="0" fontId="0" fillId="6" borderId="18" xfId="0" applyFill="1" applyBorder="1" applyAlignment="1">
      <alignment horizontal="left" vertical="top" wrapText="1"/>
    </xf>
    <xf numFmtId="0" fontId="12" fillId="7" borderId="0" xfId="0" applyFont="1" applyFill="1" applyAlignment="1">
      <alignment horizontal="left" vertical="top" wrapText="1"/>
    </xf>
    <xf numFmtId="0" fontId="0" fillId="7" borderId="0" xfId="0" applyFill="1" applyAlignment="1">
      <alignment vertical="top" wrapText="1"/>
    </xf>
    <xf numFmtId="0" fontId="0" fillId="7" borderId="25" xfId="0" applyFill="1" applyBorder="1" applyAlignment="1">
      <alignment vertical="top" wrapText="1"/>
    </xf>
    <xf numFmtId="0" fontId="14" fillId="7" borderId="27" xfId="0" applyFont="1" applyFill="1" applyBorder="1" applyAlignment="1">
      <alignment vertical="top" wrapText="1"/>
    </xf>
    <xf numFmtId="0" fontId="0" fillId="7" borderId="24" xfId="0" applyFill="1" applyBorder="1" applyAlignment="1">
      <alignment vertical="top" wrapText="1"/>
    </xf>
    <xf numFmtId="0" fontId="14" fillId="7" borderId="6" xfId="0" applyFont="1" applyFill="1" applyBorder="1" applyAlignment="1">
      <alignment vertical="top" wrapText="1"/>
    </xf>
    <xf numFmtId="0" fontId="0" fillId="0" borderId="6" xfId="0" applyBorder="1" applyAlignment="1">
      <alignment horizontal="left" vertical="top" wrapText="1"/>
    </xf>
    <xf numFmtId="4" fontId="10" fillId="4" borderId="16" xfId="2" applyNumberFormat="1" applyAlignment="1">
      <alignment horizontal="right" vertical="top" wrapText="1"/>
    </xf>
    <xf numFmtId="4" fontId="10" fillId="4" borderId="36" xfId="2" applyNumberFormat="1" applyBorder="1" applyAlignment="1">
      <alignment horizontal="right" vertical="top" wrapText="1"/>
    </xf>
    <xf numFmtId="0" fontId="12" fillId="7" borderId="6" xfId="0" applyFont="1" applyFill="1" applyBorder="1" applyAlignment="1">
      <alignment horizontal="left" vertical="top" wrapText="1"/>
    </xf>
    <xf numFmtId="4" fontId="10" fillId="4" borderId="37" xfId="2" applyNumberFormat="1" applyBorder="1" applyAlignment="1">
      <alignment horizontal="right" vertical="top" wrapText="1"/>
    </xf>
    <xf numFmtId="4" fontId="9" fillId="3" borderId="0" xfId="1" applyNumberFormat="1" applyAlignment="1">
      <alignment horizontal="right" vertical="top" wrapText="1"/>
    </xf>
    <xf numFmtId="0" fontId="10" fillId="4" borderId="16" xfId="2" applyAlignment="1">
      <alignment horizontal="left" vertical="top"/>
    </xf>
    <xf numFmtId="0" fontId="0" fillId="0" borderId="39" xfId="0" applyBorder="1" applyAlignment="1">
      <alignment horizontal="left" vertical="top" wrapText="1"/>
    </xf>
    <xf numFmtId="0" fontId="0" fillId="0" borderId="40" xfId="0" applyBorder="1" applyAlignment="1">
      <alignment horizontal="left" vertical="top" wrapText="1"/>
    </xf>
    <xf numFmtId="4" fontId="10" fillId="4" borderId="42" xfId="2" applyNumberFormat="1" applyBorder="1" applyAlignment="1">
      <alignment horizontal="right" vertical="top" wrapText="1"/>
    </xf>
    <xf numFmtId="4" fontId="10" fillId="4" borderId="45" xfId="2" applyNumberFormat="1" applyBorder="1" applyAlignment="1">
      <alignment horizontal="right" vertical="top" wrapText="1"/>
    </xf>
    <xf numFmtId="0" fontId="18" fillId="0" borderId="0" xfId="0" applyFont="1"/>
    <xf numFmtId="0" fontId="0" fillId="6" borderId="33" xfId="0" applyFill="1" applyBorder="1" applyAlignment="1">
      <alignment horizontal="left" vertical="top" wrapText="1"/>
    </xf>
    <xf numFmtId="0" fontId="0" fillId="6" borderId="6" xfId="0" applyFill="1" applyBorder="1" applyAlignment="1">
      <alignment horizontal="left" vertical="top" wrapText="1"/>
    </xf>
    <xf numFmtId="0" fontId="0" fillId="0" borderId="70" xfId="0" applyBorder="1" applyAlignment="1">
      <alignment horizontal="left" vertical="top" wrapText="1"/>
    </xf>
    <xf numFmtId="0" fontId="12" fillId="7" borderId="69" xfId="0" applyFont="1" applyFill="1" applyBorder="1" applyAlignment="1">
      <alignment horizontal="left" vertical="top" wrapText="1"/>
    </xf>
    <xf numFmtId="0" fontId="0" fillId="7" borderId="29" xfId="0" applyFill="1" applyBorder="1" applyAlignment="1">
      <alignment vertical="top" wrapText="1"/>
    </xf>
    <xf numFmtId="0" fontId="14" fillId="7" borderId="30" xfId="0" applyFont="1" applyFill="1" applyBorder="1" applyAlignment="1">
      <alignment vertical="top" wrapText="1"/>
    </xf>
    <xf numFmtId="4" fontId="10" fillId="4" borderId="71" xfId="2" applyNumberFormat="1" applyBorder="1" applyAlignment="1">
      <alignment horizontal="right" vertical="top" wrapText="1"/>
    </xf>
    <xf numFmtId="4" fontId="10" fillId="4" borderId="72" xfId="2" applyNumberFormat="1" applyBorder="1" applyAlignment="1">
      <alignment horizontal="right" vertical="top" wrapText="1"/>
    </xf>
    <xf numFmtId="4" fontId="10" fillId="4" borderId="73" xfId="2" applyNumberFormat="1" applyBorder="1" applyAlignment="1">
      <alignment horizontal="right" vertical="top" wrapText="1"/>
    </xf>
    <xf numFmtId="4" fontId="10" fillId="4" borderId="74" xfId="2" applyNumberFormat="1" applyBorder="1" applyAlignment="1">
      <alignment horizontal="right" vertical="top" wrapText="1"/>
    </xf>
    <xf numFmtId="4" fontId="10" fillId="4" borderId="76" xfId="2" applyNumberFormat="1" applyBorder="1" applyAlignment="1">
      <alignment horizontal="right" vertical="top" wrapText="1"/>
    </xf>
    <xf numFmtId="0" fontId="0" fillId="0" borderId="75" xfId="0" applyBorder="1" applyAlignment="1">
      <alignment horizontal="left" vertical="top" wrapText="1"/>
    </xf>
    <xf numFmtId="0" fontId="13" fillId="6" borderId="35" xfId="0" applyFont="1" applyFill="1" applyBorder="1" applyAlignment="1">
      <alignment horizontal="left" vertical="top" wrapText="1"/>
    </xf>
    <xf numFmtId="0" fontId="0" fillId="6" borderId="27" xfId="0" applyFill="1" applyBorder="1" applyAlignment="1">
      <alignment horizontal="left" vertical="top" wrapText="1"/>
    </xf>
    <xf numFmtId="4" fontId="10" fillId="4" borderId="77" xfId="2" applyNumberFormat="1" applyBorder="1" applyAlignment="1">
      <alignment horizontal="right" vertical="top" wrapText="1"/>
    </xf>
    <xf numFmtId="4" fontId="10" fillId="4" borderId="78" xfId="2" applyNumberFormat="1" applyBorder="1" applyAlignment="1">
      <alignment horizontal="right" vertical="top" wrapText="1"/>
    </xf>
    <xf numFmtId="4" fontId="10" fillId="4" borderId="79" xfId="2" applyNumberFormat="1" applyBorder="1" applyAlignment="1">
      <alignment horizontal="right" vertical="top" wrapText="1"/>
    </xf>
    <xf numFmtId="0" fontId="0" fillId="6" borderId="8" xfId="0" applyFill="1" applyBorder="1" applyAlignment="1">
      <alignment horizontal="left" vertical="top" wrapText="1"/>
    </xf>
    <xf numFmtId="0" fontId="0" fillId="6" borderId="9" xfId="0" applyFill="1" applyBorder="1" applyAlignment="1">
      <alignment horizontal="left" vertical="top" wrapText="1"/>
    </xf>
    <xf numFmtId="0" fontId="9" fillId="3" borderId="80" xfId="1" applyBorder="1" applyAlignment="1">
      <alignment horizontal="right" vertical="top" wrapText="1"/>
    </xf>
    <xf numFmtId="4" fontId="10" fillId="4" borderId="36" xfId="2" applyNumberFormat="1" applyBorder="1" applyAlignment="1">
      <alignment horizontal="left" vertical="top" wrapText="1"/>
    </xf>
    <xf numFmtId="4" fontId="10" fillId="4" borderId="81" xfId="2" applyNumberFormat="1" applyBorder="1" applyAlignment="1">
      <alignment horizontal="right" vertical="top" wrapText="1"/>
    </xf>
    <xf numFmtId="4" fontId="10" fillId="4" borderId="82" xfId="2" applyNumberFormat="1" applyBorder="1" applyAlignment="1">
      <alignment horizontal="right" vertical="top" wrapText="1"/>
    </xf>
    <xf numFmtId="4" fontId="10" fillId="4" borderId="83" xfId="2" applyNumberFormat="1" applyBorder="1" applyAlignment="1">
      <alignment horizontal="right" vertical="top" wrapText="1"/>
    </xf>
    <xf numFmtId="0" fontId="0" fillId="0" borderId="0" xfId="0" applyAlignment="1">
      <alignment wrapText="1"/>
    </xf>
    <xf numFmtId="0" fontId="12" fillId="0" borderId="0" xfId="0" applyFont="1" applyAlignment="1">
      <alignment horizontal="left" vertical="top" wrapText="1"/>
    </xf>
    <xf numFmtId="0" fontId="12" fillId="0" borderId="28" xfId="0" applyFont="1" applyBorder="1" applyAlignment="1">
      <alignment horizontal="left" vertical="top" wrapText="1"/>
    </xf>
    <xf numFmtId="3" fontId="10" fillId="4" borderId="14" xfId="2" applyNumberFormat="1" applyBorder="1" applyAlignment="1">
      <alignment horizontal="right" vertical="top" wrapText="1"/>
    </xf>
    <xf numFmtId="3" fontId="10" fillId="4" borderId="24" xfId="2" applyNumberFormat="1" applyBorder="1" applyAlignment="1">
      <alignment horizontal="right" vertical="top" wrapText="1"/>
    </xf>
    <xf numFmtId="3" fontId="10" fillId="4" borderId="15" xfId="2" applyNumberFormat="1" applyBorder="1" applyAlignment="1">
      <alignment horizontal="right" vertical="top" wrapText="1"/>
    </xf>
    <xf numFmtId="0" fontId="0" fillId="0" borderId="8" xfId="0" applyBorder="1" applyAlignment="1">
      <alignment horizontal="left" vertical="top" wrapText="1"/>
    </xf>
    <xf numFmtId="0" fontId="0" fillId="0" borderId="80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12" fillId="6" borderId="22" xfId="0" applyFont="1" applyFill="1" applyBorder="1" applyAlignment="1">
      <alignment horizontal="center" vertical="top" wrapText="1"/>
    </xf>
    <xf numFmtId="3" fontId="10" fillId="4" borderId="14" xfId="2" applyNumberFormat="1" applyBorder="1" applyAlignment="1">
      <alignment vertical="top" wrapText="1"/>
    </xf>
    <xf numFmtId="3" fontId="10" fillId="4" borderId="24" xfId="2" applyNumberFormat="1" applyBorder="1" applyAlignment="1">
      <alignment vertical="top" wrapText="1"/>
    </xf>
    <xf numFmtId="3" fontId="10" fillId="4" borderId="15" xfId="2" applyNumberFormat="1" applyBorder="1" applyAlignment="1">
      <alignment vertical="top" wrapText="1"/>
    </xf>
    <xf numFmtId="0" fontId="12" fillId="10" borderId="6" xfId="0" applyFont="1" applyFill="1" applyBorder="1" applyAlignment="1">
      <alignment horizontal="left" vertical="top" wrapText="1"/>
    </xf>
    <xf numFmtId="0" fontId="12" fillId="7" borderId="30" xfId="0" applyFont="1" applyFill="1" applyBorder="1" applyAlignment="1">
      <alignment horizontal="left" vertical="top" wrapText="1"/>
    </xf>
    <xf numFmtId="0" fontId="12" fillId="11" borderId="6" xfId="0" applyFont="1" applyFill="1" applyBorder="1" applyAlignment="1">
      <alignment horizontal="left" vertical="top" wrapText="1"/>
    </xf>
    <xf numFmtId="3" fontId="10" fillId="4" borderId="72" xfId="2" applyNumberFormat="1" applyBorder="1" applyAlignment="1">
      <alignment horizontal="right" vertical="top" wrapText="1"/>
    </xf>
    <xf numFmtId="0" fontId="12" fillId="10" borderId="30" xfId="0" applyFont="1" applyFill="1" applyBorder="1" applyAlignment="1">
      <alignment horizontal="left" vertical="top" wrapText="1"/>
    </xf>
    <xf numFmtId="0" fontId="12" fillId="11" borderId="30" xfId="0" applyFont="1" applyFill="1" applyBorder="1" applyAlignment="1">
      <alignment horizontal="left" vertical="top" wrapText="1"/>
    </xf>
    <xf numFmtId="0" fontId="32" fillId="0" borderId="0" xfId="0" applyFont="1" applyAlignment="1">
      <alignment horizontal="center"/>
    </xf>
    <xf numFmtId="0" fontId="33" fillId="0" borderId="0" xfId="0" applyFont="1"/>
    <xf numFmtId="49" fontId="33" fillId="0" borderId="0" xfId="0" applyNumberFormat="1" applyFont="1"/>
    <xf numFmtId="3" fontId="10" fillId="4" borderId="73" xfId="2" applyNumberFormat="1" applyBorder="1"/>
    <xf numFmtId="0" fontId="31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2" fillId="0" borderId="0" xfId="0" applyFont="1"/>
    <xf numFmtId="0" fontId="32" fillId="0" borderId="0" xfId="0" applyFont="1" applyAlignment="1">
      <alignment wrapText="1"/>
    </xf>
    <xf numFmtId="0" fontId="31" fillId="0" borderId="0" xfId="0" applyFont="1"/>
    <xf numFmtId="0" fontId="12" fillId="7" borderId="69" xfId="0" applyFont="1" applyFill="1" applyBorder="1" applyAlignment="1">
      <alignment horizontal="center" vertical="top" wrapText="1"/>
    </xf>
    <xf numFmtId="3" fontId="10" fillId="4" borderId="36" xfId="2" applyNumberFormat="1" applyBorder="1"/>
    <xf numFmtId="3" fontId="10" fillId="4" borderId="88" xfId="2" applyNumberFormat="1" applyBorder="1"/>
    <xf numFmtId="0" fontId="0" fillId="6" borderId="89" xfId="0" applyFill="1" applyBorder="1" applyAlignment="1">
      <alignment horizontal="center" vertical="top" wrapText="1"/>
    </xf>
    <xf numFmtId="3" fontId="10" fillId="4" borderId="82" xfId="2" applyNumberFormat="1" applyBorder="1" applyAlignment="1">
      <alignment horizontal="right"/>
    </xf>
    <xf numFmtId="3" fontId="10" fillId="4" borderId="83" xfId="2" applyNumberFormat="1" applyBorder="1" applyAlignment="1">
      <alignment horizontal="right"/>
    </xf>
    <xf numFmtId="3" fontId="10" fillId="4" borderId="69" xfId="2" applyNumberFormat="1" applyBorder="1"/>
    <xf numFmtId="3" fontId="10" fillId="4" borderId="30" xfId="2" applyNumberFormat="1" applyBorder="1"/>
    <xf numFmtId="3" fontId="10" fillId="4" borderId="90" xfId="2" applyNumberFormat="1" applyBorder="1"/>
    <xf numFmtId="0" fontId="30" fillId="0" borderId="14" xfId="0" applyFont="1" applyBorder="1"/>
    <xf numFmtId="0" fontId="30" fillId="0" borderId="23" xfId="0" applyFont="1" applyBorder="1"/>
    <xf numFmtId="0" fontId="32" fillId="0" borderId="24" xfId="0" applyFont="1" applyBorder="1"/>
    <xf numFmtId="0" fontId="11" fillId="0" borderId="0" xfId="0" applyFont="1"/>
    <xf numFmtId="0" fontId="6" fillId="5" borderId="30" xfId="3" applyFont="1" applyBorder="1" applyAlignment="1">
      <alignment vertical="top"/>
    </xf>
    <xf numFmtId="0" fontId="0" fillId="0" borderId="38" xfId="0" applyBorder="1" applyAlignment="1">
      <alignment horizontal="left"/>
    </xf>
    <xf numFmtId="0" fontId="0" fillId="0" borderId="39" xfId="0" applyBorder="1" applyAlignment="1">
      <alignment horizontal="left"/>
    </xf>
    <xf numFmtId="0" fontId="0" fillId="6" borderId="87" xfId="0" applyFill="1" applyBorder="1" applyAlignment="1">
      <alignment horizontal="center" vertical="top" wrapText="1"/>
    </xf>
    <xf numFmtId="0" fontId="0" fillId="6" borderId="60" xfId="0" applyFill="1" applyBorder="1" applyAlignment="1">
      <alignment horizontal="center" vertical="top" wrapText="1"/>
    </xf>
    <xf numFmtId="0" fontId="0" fillId="6" borderId="61" xfId="0" applyFill="1" applyBorder="1" applyAlignment="1">
      <alignment horizontal="center" vertical="top" wrapText="1"/>
    </xf>
    <xf numFmtId="3" fontId="10" fillId="4" borderId="93" xfId="2" applyNumberFormat="1" applyBorder="1"/>
    <xf numFmtId="3" fontId="10" fillId="4" borderId="78" xfId="2" applyNumberFormat="1" applyBorder="1"/>
    <xf numFmtId="3" fontId="10" fillId="4" borderId="43" xfId="2" applyNumberFormat="1" applyBorder="1"/>
    <xf numFmtId="3" fontId="10" fillId="4" borderId="46" xfId="2" applyNumberFormat="1" applyBorder="1"/>
    <xf numFmtId="3" fontId="10" fillId="4" borderId="94" xfId="2" applyNumberFormat="1" applyBorder="1"/>
    <xf numFmtId="3" fontId="10" fillId="4" borderId="95" xfId="2" applyNumberFormat="1" applyBorder="1" applyAlignment="1">
      <alignment horizontal="right" vertical="top" wrapText="1"/>
    </xf>
    <xf numFmtId="3" fontId="10" fillId="4" borderId="47" xfId="2" applyNumberFormat="1" applyBorder="1" applyAlignment="1">
      <alignment vertical="top" wrapText="1"/>
    </xf>
    <xf numFmtId="3" fontId="10" fillId="4" borderId="96" xfId="2" applyNumberFormat="1" applyBorder="1" applyAlignment="1">
      <alignment vertical="top" wrapText="1"/>
    </xf>
    <xf numFmtId="0" fontId="37" fillId="0" borderId="0" xfId="0" applyFont="1"/>
    <xf numFmtId="0" fontId="37" fillId="0" borderId="0" xfId="0" applyFont="1" applyAlignment="1">
      <alignment horizontal="right"/>
    </xf>
    <xf numFmtId="0" fontId="38" fillId="12" borderId="80" xfId="0" applyFont="1" applyFill="1" applyBorder="1" applyAlignment="1">
      <alignment vertical="top"/>
    </xf>
    <xf numFmtId="0" fontId="38" fillId="12" borderId="0" xfId="0" applyFont="1" applyFill="1" applyAlignment="1">
      <alignment vertical="top"/>
    </xf>
    <xf numFmtId="0" fontId="38" fillId="12" borderId="24" xfId="0" applyFont="1" applyFill="1" applyBorder="1" applyAlignment="1">
      <alignment vertical="top"/>
    </xf>
    <xf numFmtId="0" fontId="38" fillId="12" borderId="6" xfId="0" applyFont="1" applyFill="1" applyBorder="1" applyAlignment="1">
      <alignment vertical="top"/>
    </xf>
    <xf numFmtId="0" fontId="41" fillId="14" borderId="29" xfId="0" applyFont="1" applyFill="1" applyBorder="1"/>
    <xf numFmtId="0" fontId="42" fillId="0" borderId="0" xfId="0" applyFont="1"/>
    <xf numFmtId="4" fontId="10" fillId="4" borderId="50" xfId="2" applyNumberFormat="1" applyBorder="1" applyAlignment="1">
      <alignment horizontal="right" vertical="top" wrapText="1"/>
    </xf>
    <xf numFmtId="4" fontId="0" fillId="0" borderId="0" xfId="0" applyNumberFormat="1" applyAlignment="1">
      <alignment horizontal="left" vertical="top" wrapText="1"/>
    </xf>
    <xf numFmtId="0" fontId="5" fillId="6" borderId="58" xfId="0" applyFont="1" applyFill="1" applyBorder="1" applyAlignment="1">
      <alignment horizontal="center" vertical="top" wrapText="1"/>
    </xf>
    <xf numFmtId="0" fontId="5" fillId="6" borderId="87" xfId="0" applyFont="1" applyFill="1" applyBorder="1" applyAlignment="1">
      <alignment horizontal="center" vertical="top" wrapText="1"/>
    </xf>
    <xf numFmtId="0" fontId="5" fillId="6" borderId="60" xfId="0" applyFont="1" applyFill="1" applyBorder="1" applyAlignment="1">
      <alignment horizontal="center" vertical="top" wrapText="1"/>
    </xf>
    <xf numFmtId="0" fontId="5" fillId="6" borderId="61" xfId="0" applyFont="1" applyFill="1" applyBorder="1" applyAlignment="1">
      <alignment horizontal="center" vertical="top" wrapText="1"/>
    </xf>
    <xf numFmtId="0" fontId="5" fillId="0" borderId="38" xfId="0" applyFont="1" applyBorder="1" applyAlignment="1">
      <alignment horizontal="left"/>
    </xf>
    <xf numFmtId="3" fontId="10" fillId="4" borderId="102" xfId="2" applyNumberFormat="1" applyBorder="1"/>
    <xf numFmtId="3" fontId="10" fillId="4" borderId="16" xfId="2" applyNumberFormat="1"/>
    <xf numFmtId="4" fontId="10" fillId="4" borderId="103" xfId="2" applyNumberFormat="1" applyBorder="1" applyAlignment="1">
      <alignment horizontal="right" vertical="top" wrapText="1"/>
    </xf>
    <xf numFmtId="4" fontId="10" fillId="0" borderId="0" xfId="2" applyNumberFormat="1" applyFill="1" applyBorder="1" applyAlignment="1">
      <alignment horizontal="right" vertical="top" wrapText="1"/>
    </xf>
    <xf numFmtId="4" fontId="0" fillId="0" borderId="0" xfId="0" applyNumberFormat="1"/>
    <xf numFmtId="4" fontId="10" fillId="4" borderId="105" xfId="2" applyNumberFormat="1" applyBorder="1" applyAlignment="1">
      <alignment horizontal="right" vertical="top" wrapText="1"/>
    </xf>
    <xf numFmtId="0" fontId="11" fillId="0" borderId="89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6" xfId="0" applyBorder="1"/>
    <xf numFmtId="0" fontId="0" fillId="0" borderId="5" xfId="0" applyBorder="1"/>
    <xf numFmtId="0" fontId="0" fillId="0" borderId="65" xfId="0" applyBorder="1" applyAlignment="1">
      <alignment horizontal="center" vertical="center"/>
    </xf>
    <xf numFmtId="0" fontId="0" fillId="0" borderId="13" xfId="0" applyBorder="1"/>
    <xf numFmtId="4" fontId="10" fillId="4" borderId="118" xfId="2" applyNumberFormat="1" applyBorder="1" applyAlignment="1">
      <alignment horizontal="right" vertical="top" wrapText="1"/>
    </xf>
    <xf numFmtId="4" fontId="10" fillId="4" borderId="117" xfId="2" applyNumberFormat="1" applyBorder="1" applyAlignment="1">
      <alignment horizontal="right" vertical="top" wrapText="1"/>
    </xf>
    <xf numFmtId="2" fontId="37" fillId="0" borderId="0" xfId="0" applyNumberFormat="1" applyFont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2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4" fontId="46" fillId="4" borderId="118" xfId="2" applyNumberFormat="1" applyFont="1" applyBorder="1" applyAlignment="1">
      <alignment horizontal="left" vertical="center" wrapText="1"/>
    </xf>
    <xf numFmtId="4" fontId="10" fillId="15" borderId="117" xfId="2" applyNumberFormat="1" applyFill="1" applyBorder="1" applyAlignment="1">
      <alignment horizontal="right" vertical="center" wrapText="1"/>
    </xf>
    <xf numFmtId="165" fontId="45" fillId="15" borderId="117" xfId="4" applyNumberFormat="1" applyFont="1" applyFill="1" applyBorder="1" applyAlignment="1">
      <alignment horizontal="right" vertical="center" wrapText="1"/>
    </xf>
    <xf numFmtId="3" fontId="45" fillId="15" borderId="117" xfId="4" applyNumberFormat="1" applyFont="1" applyFill="1" applyBorder="1" applyAlignment="1">
      <alignment horizontal="right" vertical="center" wrapText="1"/>
    </xf>
    <xf numFmtId="0" fontId="47" fillId="0" borderId="0" xfId="0" applyFont="1" applyAlignment="1">
      <alignment horizontal="right" vertical="center"/>
    </xf>
    <xf numFmtId="4" fontId="48" fillId="9" borderId="117" xfId="2" applyNumberFormat="1" applyFont="1" applyFill="1" applyBorder="1" applyAlignment="1">
      <alignment horizontal="right" vertical="center" wrapText="1"/>
    </xf>
    <xf numFmtId="165" fontId="49" fillId="9" borderId="117" xfId="4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vertical="center"/>
    </xf>
    <xf numFmtId="3" fontId="49" fillId="9" borderId="117" xfId="4" applyNumberFormat="1" applyFont="1" applyFill="1" applyBorder="1" applyAlignment="1">
      <alignment horizontal="right" vertical="center" wrapText="1"/>
    </xf>
    <xf numFmtId="2" fontId="6" fillId="17" borderId="80" xfId="1" applyNumberFormat="1" applyFont="1" applyFill="1" applyBorder="1" applyAlignment="1">
      <alignment vertical="top" wrapText="1"/>
    </xf>
    <xf numFmtId="1" fontId="51" fillId="3" borderId="5" xfId="1" applyNumberFormat="1" applyFont="1" applyBorder="1" applyAlignment="1">
      <alignment horizontal="right" vertical="top" wrapText="1"/>
    </xf>
    <xf numFmtId="0" fontId="34" fillId="0" borderId="0" xfId="0" applyFont="1"/>
    <xf numFmtId="0" fontId="12" fillId="0" borderId="0" xfId="0" applyFont="1" applyAlignment="1">
      <alignment horizontal="center" vertical="top" wrapText="1"/>
    </xf>
    <xf numFmtId="3" fontId="10" fillId="0" borderId="0" xfId="2" applyNumberFormat="1" applyFill="1" applyBorder="1"/>
    <xf numFmtId="0" fontId="11" fillId="0" borderId="61" xfId="0" applyFont="1" applyBorder="1"/>
    <xf numFmtId="0" fontId="11" fillId="0" borderId="120" xfId="0" applyFont="1" applyBorder="1"/>
    <xf numFmtId="0" fontId="0" fillId="0" borderId="121" xfId="0" applyBorder="1" applyAlignment="1">
      <alignment horizontal="left"/>
    </xf>
    <xf numFmtId="0" fontId="12" fillId="7" borderId="30" xfId="0" applyFont="1" applyFill="1" applyBorder="1" applyAlignment="1">
      <alignment horizontal="center" vertical="top" wrapText="1"/>
    </xf>
    <xf numFmtId="0" fontId="0" fillId="0" borderId="6" xfId="0" applyBorder="1" applyAlignment="1">
      <alignment horizontal="right"/>
    </xf>
    <xf numFmtId="0" fontId="34" fillId="0" borderId="6" xfId="0" applyFont="1" applyBorder="1"/>
    <xf numFmtId="0" fontId="36" fillId="0" borderId="24" xfId="0" applyFont="1" applyBorder="1"/>
    <xf numFmtId="9" fontId="0" fillId="0" borderId="19" xfId="4" applyFont="1" applyBorder="1" applyAlignment="1">
      <alignment wrapText="1"/>
    </xf>
    <xf numFmtId="4" fontId="0" fillId="0" borderId="20" xfId="0" applyNumberFormat="1" applyBorder="1" applyAlignment="1">
      <alignment wrapText="1"/>
    </xf>
    <xf numFmtId="9" fontId="0" fillId="0" borderId="0" xfId="4" applyFont="1"/>
    <xf numFmtId="4" fontId="0" fillId="0" borderId="20" xfId="0" applyNumberFormat="1" applyBorder="1"/>
    <xf numFmtId="9" fontId="0" fillId="0" borderId="0" xfId="4" applyFont="1" applyAlignment="1">
      <alignment wrapText="1"/>
    </xf>
    <xf numFmtId="2" fontId="0" fillId="0" borderId="20" xfId="0" applyNumberFormat="1" applyBorder="1" applyAlignment="1">
      <alignment wrapText="1"/>
    </xf>
    <xf numFmtId="2" fontId="0" fillId="0" borderId="124" xfId="0" applyNumberFormat="1" applyBorder="1" applyAlignment="1">
      <alignment wrapText="1"/>
    </xf>
    <xf numFmtId="2" fontId="0" fillId="0" borderId="20" xfId="0" applyNumberFormat="1" applyBorder="1"/>
    <xf numFmtId="2" fontId="0" fillId="0" borderId="124" xfId="0" applyNumberFormat="1" applyBorder="1"/>
    <xf numFmtId="9" fontId="11" fillId="10" borderId="19" xfId="4" applyFont="1" applyFill="1" applyBorder="1" applyAlignment="1">
      <alignment wrapText="1"/>
    </xf>
    <xf numFmtId="9" fontId="11" fillId="10" borderId="123" xfId="4" applyFont="1" applyFill="1" applyBorder="1" applyAlignment="1">
      <alignment wrapText="1"/>
    </xf>
    <xf numFmtId="9" fontId="11" fillId="10" borderId="19" xfId="4" applyFont="1" applyFill="1" applyBorder="1"/>
    <xf numFmtId="9" fontId="11" fillId="10" borderId="123" xfId="4" applyFont="1" applyFill="1" applyBorder="1"/>
    <xf numFmtId="0" fontId="11" fillId="10" borderId="0" xfId="0" applyFont="1" applyFill="1" applyAlignment="1">
      <alignment wrapText="1"/>
    </xf>
    <xf numFmtId="4" fontId="11" fillId="10" borderId="0" xfId="0" applyNumberFormat="1" applyFont="1" applyFill="1" applyAlignment="1">
      <alignment wrapText="1"/>
    </xf>
    <xf numFmtId="0" fontId="11" fillId="10" borderId="20" xfId="0" applyFont="1" applyFill="1" applyBorder="1" applyAlignment="1">
      <alignment horizontal="right" wrapText="1"/>
    </xf>
    <xf numFmtId="0" fontId="11" fillId="10" borderId="19" xfId="0" applyFont="1" applyFill="1" applyBorder="1" applyAlignment="1">
      <alignment horizontal="right" wrapText="1"/>
    </xf>
    <xf numFmtId="0" fontId="11" fillId="10" borderId="122" xfId="0" applyFont="1" applyFill="1" applyBorder="1" applyAlignment="1">
      <alignment horizontal="right"/>
    </xf>
    <xf numFmtId="0" fontId="11" fillId="10" borderId="116" xfId="0" applyFont="1" applyFill="1" applyBorder="1" applyAlignment="1">
      <alignment horizontal="right"/>
    </xf>
    <xf numFmtId="4" fontId="0" fillId="0" borderId="0" xfId="0" applyNumberFormat="1" applyAlignment="1">
      <alignment wrapText="1"/>
    </xf>
    <xf numFmtId="2" fontId="0" fillId="0" borderId="0" xfId="0" applyNumberFormat="1" applyAlignment="1">
      <alignment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right" wrapText="1"/>
    </xf>
    <xf numFmtId="4" fontId="11" fillId="0" borderId="0" xfId="0" applyNumberFormat="1" applyFont="1" applyAlignment="1">
      <alignment wrapText="1"/>
    </xf>
    <xf numFmtId="9" fontId="11" fillId="19" borderId="20" xfId="4" applyFont="1" applyFill="1" applyBorder="1" applyAlignment="1">
      <alignment wrapText="1"/>
    </xf>
    <xf numFmtId="2" fontId="0" fillId="0" borderId="0" xfId="0" applyNumberFormat="1"/>
    <xf numFmtId="9" fontId="11" fillId="19" borderId="21" xfId="4" applyFont="1" applyFill="1" applyBorder="1" applyAlignment="1">
      <alignment wrapText="1"/>
    </xf>
    <xf numFmtId="2" fontId="0" fillId="0" borderId="21" xfId="0" applyNumberFormat="1" applyBorder="1" applyAlignment="1">
      <alignment wrapText="1"/>
    </xf>
    <xf numFmtId="2" fontId="0" fillId="0" borderId="21" xfId="0" applyNumberFormat="1" applyBorder="1"/>
    <xf numFmtId="9" fontId="11" fillId="19" borderId="123" xfId="4" applyFont="1" applyFill="1" applyBorder="1" applyAlignment="1">
      <alignment wrapText="1"/>
    </xf>
    <xf numFmtId="9" fontId="11" fillId="19" borderId="124" xfId="4" applyFont="1" applyFill="1" applyBorder="1" applyAlignment="1">
      <alignment wrapText="1"/>
    </xf>
    <xf numFmtId="9" fontId="11" fillId="19" borderId="116" xfId="4" applyFont="1" applyFill="1" applyBorder="1" applyAlignment="1">
      <alignment wrapText="1"/>
    </xf>
    <xf numFmtId="0" fontId="41" fillId="14" borderId="15" xfId="0" applyFont="1" applyFill="1" applyBorder="1"/>
    <xf numFmtId="0" fontId="0" fillId="17" borderId="60" xfId="0" applyFill="1" applyBorder="1"/>
    <xf numFmtId="0" fontId="0" fillId="17" borderId="22" xfId="0" applyFill="1" applyBorder="1"/>
    <xf numFmtId="0" fontId="0" fillId="17" borderId="86" xfId="0" applyFill="1" applyBorder="1"/>
    <xf numFmtId="0" fontId="0" fillId="17" borderId="114" xfId="0" applyFill="1" applyBorder="1"/>
    <xf numFmtId="0" fontId="38" fillId="12" borderId="13" xfId="0" applyFont="1" applyFill="1" applyBorder="1" applyAlignment="1">
      <alignment horizontal="center" vertical="center" wrapText="1"/>
    </xf>
    <xf numFmtId="0" fontId="39" fillId="17" borderId="135" xfId="0" applyFont="1" applyFill="1" applyBorder="1" applyAlignment="1">
      <alignment vertical="center"/>
    </xf>
    <xf numFmtId="0" fontId="38" fillId="12" borderId="23" xfId="0" applyFont="1" applyFill="1" applyBorder="1" applyAlignment="1">
      <alignment vertical="center"/>
    </xf>
    <xf numFmtId="0" fontId="38" fillId="12" borderId="8" xfId="0" applyFont="1" applyFill="1" applyBorder="1" applyAlignment="1">
      <alignment vertical="center" wrapText="1"/>
    </xf>
    <xf numFmtId="0" fontId="38" fillId="12" borderId="14" xfId="0" applyFont="1" applyFill="1" applyBorder="1" applyAlignment="1">
      <alignment vertical="center"/>
    </xf>
    <xf numFmtId="0" fontId="38" fillId="12" borderId="13" xfId="0" applyFont="1" applyFill="1" applyBorder="1" applyAlignment="1">
      <alignment vertical="center"/>
    </xf>
    <xf numFmtId="0" fontId="38" fillId="12" borderId="14" xfId="0" applyFont="1" applyFill="1" applyBorder="1" applyAlignment="1">
      <alignment horizontal="center" vertical="center" wrapText="1"/>
    </xf>
    <xf numFmtId="0" fontId="38" fillId="12" borderId="23" xfId="0" applyFont="1" applyFill="1" applyBorder="1" applyAlignment="1">
      <alignment horizontal="center" vertical="center" wrapText="1"/>
    </xf>
    <xf numFmtId="0" fontId="38" fillId="12" borderId="24" xfId="0" applyFont="1" applyFill="1" applyBorder="1" applyAlignment="1">
      <alignment horizontal="center" vertical="center" wrapText="1"/>
    </xf>
    <xf numFmtId="0" fontId="38" fillId="12" borderId="0" xfId="0" applyFont="1" applyFill="1" applyAlignment="1">
      <alignment horizontal="center" vertical="center" wrapText="1"/>
    </xf>
    <xf numFmtId="0" fontId="41" fillId="14" borderId="26" xfId="0" applyFont="1" applyFill="1" applyBorder="1" applyAlignment="1">
      <alignment horizontal="center" vertical="center"/>
    </xf>
    <xf numFmtId="0" fontId="38" fillId="12" borderId="6" xfId="0" applyFont="1" applyFill="1" applyBorder="1" applyAlignment="1">
      <alignment horizontal="center" vertical="center" wrapText="1"/>
    </xf>
    <xf numFmtId="2" fontId="41" fillId="14" borderId="30" xfId="0" applyNumberFormat="1" applyFont="1" applyFill="1" applyBorder="1" applyAlignment="1">
      <alignment horizontal="center" vertical="center"/>
    </xf>
    <xf numFmtId="0" fontId="38" fillId="12" borderId="6" xfId="0" applyFont="1" applyFill="1" applyBorder="1" applyAlignment="1">
      <alignment horizontal="center" vertical="top" wrapText="1"/>
    </xf>
    <xf numFmtId="0" fontId="37" fillId="17" borderId="130" xfId="0" applyFont="1" applyFill="1" applyBorder="1" applyAlignment="1">
      <alignment horizontal="center" vertical="center"/>
    </xf>
    <xf numFmtId="0" fontId="37" fillId="17" borderId="133" xfId="0" applyFont="1" applyFill="1" applyBorder="1" applyAlignment="1">
      <alignment horizontal="center" vertical="center"/>
    </xf>
    <xf numFmtId="0" fontId="40" fillId="17" borderId="135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1" fillId="19" borderId="0" xfId="0" applyFont="1" applyFill="1"/>
    <xf numFmtId="0" fontId="11" fillId="19" borderId="0" xfId="0" applyFont="1" applyFill="1" applyAlignment="1">
      <alignment horizontal="left"/>
    </xf>
    <xf numFmtId="0" fontId="11" fillId="0" borderId="69" xfId="0" applyFont="1" applyBorder="1" applyAlignment="1">
      <alignment horizontal="center" vertical="center" wrapText="1"/>
    </xf>
    <xf numFmtId="0" fontId="11" fillId="0" borderId="15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0" fillId="0" borderId="147" xfId="0" applyBorder="1" applyAlignment="1">
      <alignment horizontal="center" vertical="center" wrapText="1"/>
    </xf>
    <xf numFmtId="0" fontId="59" fillId="0" borderId="0" xfId="0" applyFont="1"/>
    <xf numFmtId="2" fontId="41" fillId="14" borderId="69" xfId="0" applyNumberFormat="1" applyFont="1" applyFill="1" applyBorder="1" applyAlignment="1">
      <alignment horizontal="center" vertical="center"/>
    </xf>
    <xf numFmtId="2" fontId="41" fillId="14" borderId="29" xfId="0" applyNumberFormat="1" applyFont="1" applyFill="1" applyBorder="1" applyAlignment="1">
      <alignment horizontal="center" vertical="center"/>
    </xf>
    <xf numFmtId="0" fontId="38" fillId="12" borderId="80" xfId="0" applyFont="1" applyFill="1" applyBorder="1" applyAlignment="1">
      <alignment horizontal="center" vertical="top" wrapText="1"/>
    </xf>
    <xf numFmtId="0" fontId="38" fillId="12" borderId="6" xfId="0" applyFont="1" applyFill="1" applyBorder="1" applyAlignment="1">
      <alignment vertical="center"/>
    </xf>
    <xf numFmtId="0" fontId="38" fillId="12" borderId="0" xfId="0" applyFont="1" applyFill="1" applyAlignment="1">
      <alignment vertical="center"/>
    </xf>
    <xf numFmtId="0" fontId="38" fillId="12" borderId="24" xfId="0" applyFont="1" applyFill="1" applyBorder="1" applyAlignment="1">
      <alignment vertical="center"/>
    </xf>
    <xf numFmtId="0" fontId="38" fillId="12" borderId="80" xfId="0" applyFont="1" applyFill="1" applyBorder="1" applyAlignment="1">
      <alignment vertical="center" wrapText="1"/>
    </xf>
    <xf numFmtId="0" fontId="11" fillId="9" borderId="153" xfId="0" applyFont="1" applyFill="1" applyBorder="1"/>
    <xf numFmtId="0" fontId="11" fillId="9" borderId="150" xfId="0" applyFont="1" applyFill="1" applyBorder="1"/>
    <xf numFmtId="0" fontId="11" fillId="9" borderId="151" xfId="0" applyFont="1" applyFill="1" applyBorder="1"/>
    <xf numFmtId="0" fontId="0" fillId="25" borderId="114" xfId="0" applyFill="1" applyBorder="1"/>
    <xf numFmtId="0" fontId="0" fillId="25" borderId="22" xfId="0" applyFill="1" applyBorder="1"/>
    <xf numFmtId="0" fontId="35" fillId="17" borderId="22" xfId="0" applyFont="1" applyFill="1" applyBorder="1"/>
    <xf numFmtId="0" fontId="43" fillId="17" borderId="155" xfId="0" applyFont="1" applyFill="1" applyBorder="1" applyAlignment="1">
      <alignment horizontal="center" vertical="center"/>
    </xf>
    <xf numFmtId="0" fontId="43" fillId="17" borderId="156" xfId="0" applyFont="1" applyFill="1" applyBorder="1" applyAlignment="1">
      <alignment horizontal="center" vertical="center"/>
    </xf>
    <xf numFmtId="0" fontId="43" fillId="17" borderId="157" xfId="0" applyFont="1" applyFill="1" applyBorder="1" applyAlignment="1">
      <alignment horizontal="center" vertical="center"/>
    </xf>
    <xf numFmtId="0" fontId="43" fillId="17" borderId="158" xfId="0" applyFont="1" applyFill="1" applyBorder="1" applyAlignment="1">
      <alignment horizontal="center" vertical="center"/>
    </xf>
    <xf numFmtId="0" fontId="43" fillId="17" borderId="159" xfId="0" applyFont="1" applyFill="1" applyBorder="1" applyAlignment="1">
      <alignment horizontal="center" vertical="center"/>
    </xf>
    <xf numFmtId="0" fontId="43" fillId="17" borderId="160" xfId="0" applyFont="1" applyFill="1" applyBorder="1" applyAlignment="1">
      <alignment horizontal="center" vertical="center"/>
    </xf>
    <xf numFmtId="0" fontId="43" fillId="17" borderId="161" xfId="0" applyFont="1" applyFill="1" applyBorder="1" applyAlignment="1">
      <alignment horizontal="center" vertical="center"/>
    </xf>
    <xf numFmtId="0" fontId="43" fillId="17" borderId="162" xfId="0" applyFont="1" applyFill="1" applyBorder="1" applyAlignment="1">
      <alignment horizontal="center" vertical="center"/>
    </xf>
    <xf numFmtId="0" fontId="43" fillId="17" borderId="163" xfId="0" applyFont="1" applyFill="1" applyBorder="1" applyAlignment="1">
      <alignment horizontal="center" vertical="center"/>
    </xf>
    <xf numFmtId="0" fontId="0" fillId="25" borderId="22" xfId="0" applyFill="1" applyBorder="1" applyAlignment="1">
      <alignment wrapText="1"/>
    </xf>
    <xf numFmtId="0" fontId="62" fillId="21" borderId="114" xfId="6" applyFont="1" applyFill="1" applyBorder="1" applyAlignment="1">
      <alignment vertical="center"/>
    </xf>
    <xf numFmtId="0" fontId="62" fillId="21" borderId="22" xfId="6" applyFont="1" applyFill="1" applyBorder="1" applyAlignment="1">
      <alignment vertical="center"/>
    </xf>
    <xf numFmtId="0" fontId="0" fillId="17" borderId="22" xfId="0" applyFill="1" applyBorder="1" applyAlignment="1">
      <alignment wrapText="1"/>
    </xf>
    <xf numFmtId="0" fontId="11" fillId="0" borderId="60" xfId="0" applyFont="1" applyBorder="1" applyAlignment="1">
      <alignment horizontal="center"/>
    </xf>
    <xf numFmtId="0" fontId="11" fillId="0" borderId="0" xfId="0" applyFont="1" applyAlignment="1">
      <alignment vertical="top" wrapText="1"/>
    </xf>
    <xf numFmtId="0" fontId="11" fillId="0" borderId="0" xfId="0" applyFont="1" applyAlignment="1">
      <alignment vertical="top"/>
    </xf>
    <xf numFmtId="0" fontId="11" fillId="19" borderId="125" xfId="0" applyFont="1" applyFill="1" applyBorder="1"/>
    <xf numFmtId="0" fontId="11" fillId="19" borderId="34" xfId="0" applyFont="1" applyFill="1" applyBorder="1"/>
    <xf numFmtId="0" fontId="11" fillId="19" borderId="113" xfId="0" applyFont="1" applyFill="1" applyBorder="1"/>
    <xf numFmtId="164" fontId="11" fillId="19" borderId="22" xfId="5" applyNumberFormat="1" applyFont="1" applyFill="1" applyBorder="1"/>
    <xf numFmtId="164" fontId="11" fillId="19" borderId="125" xfId="5" applyNumberFormat="1" applyFont="1" applyFill="1" applyBorder="1"/>
    <xf numFmtId="0" fontId="11" fillId="0" borderId="125" xfId="0" applyFont="1" applyBorder="1"/>
    <xf numFmtId="0" fontId="11" fillId="22" borderId="34" xfId="0" applyFont="1" applyFill="1" applyBorder="1"/>
    <xf numFmtId="0" fontId="11" fillId="22" borderId="113" xfId="0" applyFont="1" applyFill="1" applyBorder="1"/>
    <xf numFmtId="0" fontId="11" fillId="21" borderId="125" xfId="0" applyFont="1" applyFill="1" applyBorder="1"/>
    <xf numFmtId="0" fontId="11" fillId="21" borderId="34" xfId="0" applyFont="1" applyFill="1" applyBorder="1"/>
    <xf numFmtId="0" fontId="0" fillId="21" borderId="113" xfId="0" applyFill="1" applyBorder="1"/>
    <xf numFmtId="0" fontId="11" fillId="21" borderId="122" xfId="0" applyFont="1" applyFill="1" applyBorder="1"/>
    <xf numFmtId="0" fontId="11" fillId="21" borderId="18" xfId="0" applyFont="1" applyFill="1" applyBorder="1"/>
    <xf numFmtId="0" fontId="0" fillId="21" borderId="116" xfId="0" applyFill="1" applyBorder="1"/>
    <xf numFmtId="0" fontId="35" fillId="0" borderId="0" xfId="0" applyFont="1" applyAlignment="1">
      <alignment horizontal="left" vertical="top" wrapText="1"/>
    </xf>
    <xf numFmtId="0" fontId="12" fillId="18" borderId="0" xfId="0" applyFont="1" applyFill="1" applyAlignment="1">
      <alignment horizontal="left" vertical="top" wrapText="1"/>
    </xf>
    <xf numFmtId="0" fontId="12" fillId="18" borderId="15" xfId="0" applyFont="1" applyFill="1" applyBorder="1" applyAlignment="1">
      <alignment horizontal="left" vertical="top" wrapText="1"/>
    </xf>
    <xf numFmtId="0" fontId="12" fillId="18" borderId="26" xfId="0" applyFont="1" applyFill="1" applyBorder="1" applyAlignment="1">
      <alignment horizontal="left" vertical="top" wrapText="1"/>
    </xf>
    <xf numFmtId="0" fontId="12" fillId="18" borderId="5" xfId="0" applyFont="1" applyFill="1" applyBorder="1" applyAlignment="1">
      <alignment horizontal="left" vertical="top" wrapText="1"/>
    </xf>
    <xf numFmtId="0" fontId="12" fillId="18" borderId="0" xfId="0" applyFont="1" applyFill="1" applyAlignment="1">
      <alignment horizontal="center" vertical="top" wrapText="1"/>
    </xf>
    <xf numFmtId="0" fontId="12" fillId="18" borderId="27" xfId="0" applyFont="1" applyFill="1" applyBorder="1" applyAlignment="1">
      <alignment horizontal="center" vertical="top" wrapText="1"/>
    </xf>
    <xf numFmtId="0" fontId="12" fillId="18" borderId="19" xfId="0" applyFont="1" applyFill="1" applyBorder="1" applyAlignment="1">
      <alignment horizontal="center" vertical="top" wrapText="1"/>
    </xf>
    <xf numFmtId="0" fontId="12" fillId="18" borderId="5" xfId="0" applyFont="1" applyFill="1" applyBorder="1" applyAlignment="1">
      <alignment horizontal="center" vertical="top" wrapText="1"/>
    </xf>
    <xf numFmtId="0" fontId="15" fillId="0" borderId="0" xfId="0" applyFont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166" fontId="0" fillId="0" borderId="14" xfId="5" applyNumberFormat="1" applyFont="1" applyBorder="1" applyAlignment="1">
      <alignment horizontal="center" vertical="center" wrapText="1"/>
    </xf>
    <xf numFmtId="166" fontId="0" fillId="0" borderId="23" xfId="5" applyNumberFormat="1" applyFont="1" applyBorder="1" applyAlignment="1">
      <alignment horizontal="center" vertical="center" wrapText="1"/>
    </xf>
    <xf numFmtId="166" fontId="0" fillId="0" borderId="13" xfId="5" applyNumberFormat="1" applyFont="1" applyBorder="1" applyAlignment="1">
      <alignment horizontal="center" vertical="center" wrapText="1"/>
    </xf>
    <xf numFmtId="166" fontId="17" fillId="5" borderId="84" xfId="5" applyNumberFormat="1" applyFont="1" applyFill="1" applyBorder="1" applyAlignment="1">
      <alignment horizontal="center" vertical="center" wrapText="1"/>
    </xf>
    <xf numFmtId="166" fontId="17" fillId="5" borderId="53" xfId="5" applyNumberFormat="1" applyFont="1" applyFill="1" applyBorder="1" applyAlignment="1">
      <alignment horizontal="center" vertical="center" wrapText="1"/>
    </xf>
    <xf numFmtId="166" fontId="57" fillId="20" borderId="53" xfId="5" applyNumberFormat="1" applyFont="1" applyFill="1" applyBorder="1" applyAlignment="1">
      <alignment horizontal="center" vertical="center" wrapText="1"/>
    </xf>
    <xf numFmtId="166" fontId="57" fillId="20" borderId="54" xfId="5" applyNumberFormat="1" applyFont="1" applyFill="1" applyBorder="1" applyAlignment="1">
      <alignment horizontal="center" vertical="center" wrapText="1"/>
    </xf>
    <xf numFmtId="9" fontId="35" fillId="0" borderId="0" xfId="4" applyFont="1" applyAlignment="1">
      <alignment horizontal="left" vertical="top" wrapText="1"/>
    </xf>
    <xf numFmtId="166" fontId="0" fillId="0" borderId="24" xfId="5" applyNumberFormat="1" applyFont="1" applyBorder="1" applyAlignment="1">
      <alignment horizontal="center" vertical="center" wrapText="1"/>
    </xf>
    <xf numFmtId="166" fontId="0" fillId="0" borderId="0" xfId="5" applyNumberFormat="1" applyFont="1" applyAlignment="1">
      <alignment horizontal="center" vertical="center" wrapText="1"/>
    </xf>
    <xf numFmtId="166" fontId="0" fillId="0" borderId="6" xfId="5" applyNumberFormat="1" applyFont="1" applyBorder="1" applyAlignment="1">
      <alignment horizontal="center" vertical="center" wrapText="1"/>
    </xf>
    <xf numFmtId="166" fontId="17" fillId="5" borderId="41" xfId="5" applyNumberFormat="1" applyFont="1" applyFill="1" applyBorder="1" applyAlignment="1">
      <alignment horizontal="center" vertical="center" wrapText="1"/>
    </xf>
    <xf numFmtId="166" fontId="17" fillId="5" borderId="17" xfId="5" applyNumberFormat="1" applyFont="1" applyFill="1" applyBorder="1" applyAlignment="1">
      <alignment horizontal="center" vertical="center" wrapText="1"/>
    </xf>
    <xf numFmtId="166" fontId="57" fillId="20" borderId="17" xfId="5" applyNumberFormat="1" applyFont="1" applyFill="1" applyBorder="1" applyAlignment="1">
      <alignment horizontal="center" vertical="center" wrapText="1"/>
    </xf>
    <xf numFmtId="166" fontId="57" fillId="20" borderId="98" xfId="5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 vertical="top" wrapText="1"/>
    </xf>
    <xf numFmtId="166" fontId="0" fillId="0" borderId="15" xfId="5" applyNumberFormat="1" applyFont="1" applyBorder="1" applyAlignment="1">
      <alignment horizontal="center" vertical="center" wrapText="1"/>
    </xf>
    <xf numFmtId="166" fontId="0" fillId="0" borderId="26" xfId="5" applyNumberFormat="1" applyFont="1" applyBorder="1" applyAlignment="1">
      <alignment horizontal="center" vertical="center" wrapText="1"/>
    </xf>
    <xf numFmtId="166" fontId="0" fillId="0" borderId="5" xfId="5" applyNumberFormat="1" applyFont="1" applyBorder="1" applyAlignment="1">
      <alignment horizontal="center" vertical="center" wrapText="1"/>
    </xf>
    <xf numFmtId="166" fontId="17" fillId="5" borderId="85" xfId="5" applyNumberFormat="1" applyFont="1" applyFill="1" applyBorder="1" applyAlignment="1">
      <alignment horizontal="center" vertical="center" wrapText="1"/>
    </xf>
    <xf numFmtId="166" fontId="17" fillId="5" borderId="56" xfId="5" applyNumberFormat="1" applyFont="1" applyFill="1" applyBorder="1" applyAlignment="1">
      <alignment horizontal="center" vertical="center" wrapText="1"/>
    </xf>
    <xf numFmtId="166" fontId="57" fillId="20" borderId="56" xfId="5" applyNumberFormat="1" applyFont="1" applyFill="1" applyBorder="1" applyAlignment="1">
      <alignment horizontal="center" vertical="center" wrapText="1"/>
    </xf>
    <xf numFmtId="166" fontId="57" fillId="20" borderId="99" xfId="5" applyNumberFormat="1" applyFont="1" applyFill="1" applyBorder="1" applyAlignment="1">
      <alignment horizontal="center" vertical="center" wrapText="1"/>
    </xf>
    <xf numFmtId="167" fontId="0" fillId="0" borderId="14" xfId="0" applyNumberFormat="1" applyBorder="1" applyAlignment="1">
      <alignment horizontal="center" vertical="center" wrapText="1"/>
    </xf>
    <xf numFmtId="167" fontId="0" fillId="0" borderId="23" xfId="0" applyNumberFormat="1" applyBorder="1" applyAlignment="1">
      <alignment horizontal="center" vertical="center" wrapText="1"/>
    </xf>
    <xf numFmtId="167" fontId="0" fillId="0" borderId="13" xfId="0" applyNumberFormat="1" applyBorder="1" applyAlignment="1">
      <alignment horizontal="center" vertical="center" wrapText="1"/>
    </xf>
    <xf numFmtId="167" fontId="17" fillId="5" borderId="53" xfId="3" applyNumberFormat="1" applyFont="1" applyBorder="1" applyAlignment="1">
      <alignment horizontal="center" vertical="center" wrapText="1"/>
    </xf>
    <xf numFmtId="167" fontId="57" fillId="20" borderId="53" xfId="3" applyNumberFormat="1" applyFont="1" applyFill="1" applyBorder="1" applyAlignment="1">
      <alignment horizontal="center" vertical="center" wrapText="1"/>
    </xf>
    <xf numFmtId="167" fontId="17" fillId="5" borderId="129" xfId="3" applyNumberFormat="1" applyFont="1" applyBorder="1" applyAlignment="1">
      <alignment horizontal="center" vertical="center" wrapText="1"/>
    </xf>
    <xf numFmtId="167" fontId="57" fillId="20" borderId="97" xfId="3" applyNumberFormat="1" applyFont="1" applyFill="1" applyBorder="1" applyAlignment="1">
      <alignment horizontal="center" vertical="center" wrapText="1"/>
    </xf>
    <xf numFmtId="167" fontId="0" fillId="0" borderId="24" xfId="0" applyNumberFormat="1" applyBorder="1" applyAlignment="1">
      <alignment horizontal="center" vertical="center" wrapText="1"/>
    </xf>
    <xf numFmtId="167" fontId="0" fillId="0" borderId="0" xfId="0" applyNumberFormat="1" applyAlignment="1">
      <alignment horizontal="center" vertical="center" wrapText="1"/>
    </xf>
    <xf numFmtId="167" fontId="0" fillId="0" borderId="6" xfId="0" applyNumberFormat="1" applyBorder="1" applyAlignment="1">
      <alignment horizontal="center" vertical="center" wrapText="1"/>
    </xf>
    <xf numFmtId="167" fontId="17" fillId="5" borderId="17" xfId="3" applyNumberFormat="1" applyFont="1" applyAlignment="1">
      <alignment horizontal="center" vertical="center" wrapText="1"/>
    </xf>
    <xf numFmtId="167" fontId="57" fillId="20" borderId="17" xfId="3" applyNumberFormat="1" applyFont="1" applyFill="1" applyAlignment="1">
      <alignment horizontal="center" vertical="center" wrapText="1"/>
    </xf>
    <xf numFmtId="167" fontId="17" fillId="5" borderId="127" xfId="3" applyNumberFormat="1" applyFont="1" applyBorder="1" applyAlignment="1">
      <alignment horizontal="center" vertical="center" wrapText="1"/>
    </xf>
    <xf numFmtId="167" fontId="57" fillId="20" borderId="98" xfId="3" applyNumberFormat="1" applyFont="1" applyFill="1" applyBorder="1" applyAlignment="1">
      <alignment horizontal="center" vertical="center" wrapText="1"/>
    </xf>
    <xf numFmtId="167" fontId="0" fillId="0" borderId="15" xfId="0" applyNumberFormat="1" applyBorder="1" applyAlignment="1">
      <alignment horizontal="center" vertical="center" wrapText="1"/>
    </xf>
    <xf numFmtId="167" fontId="0" fillId="0" borderId="26" xfId="0" applyNumberFormat="1" applyBorder="1" applyAlignment="1">
      <alignment horizontal="center" vertical="center" wrapText="1"/>
    </xf>
    <xf numFmtId="167" fontId="0" fillId="0" borderId="5" xfId="0" applyNumberFormat="1" applyBorder="1" applyAlignment="1">
      <alignment horizontal="center" vertical="center" wrapText="1"/>
    </xf>
    <xf numFmtId="167" fontId="17" fillId="5" borderId="56" xfId="3" applyNumberFormat="1" applyFont="1" applyBorder="1" applyAlignment="1">
      <alignment horizontal="center" vertical="center" wrapText="1"/>
    </xf>
    <xf numFmtId="167" fontId="57" fillId="20" borderId="56" xfId="3" applyNumberFormat="1" applyFont="1" applyFill="1" applyBorder="1" applyAlignment="1">
      <alignment horizontal="center" vertical="center" wrapText="1"/>
    </xf>
    <xf numFmtId="167" fontId="17" fillId="5" borderId="128" xfId="3" applyNumberFormat="1" applyFont="1" applyBorder="1" applyAlignment="1">
      <alignment horizontal="center" vertical="center" wrapText="1"/>
    </xf>
    <xf numFmtId="167" fontId="57" fillId="20" borderId="99" xfId="3" applyNumberFormat="1" applyFont="1" applyFill="1" applyBorder="1" applyAlignment="1">
      <alignment horizontal="center" vertical="center" wrapText="1"/>
    </xf>
    <xf numFmtId="9" fontId="35" fillId="0" borderId="18" xfId="0" applyNumberFormat="1" applyFont="1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35" fillId="0" borderId="21" xfId="0" applyFont="1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11" fillId="16" borderId="28" xfId="0" applyFont="1" applyFill="1" applyBorder="1" applyAlignment="1">
      <alignment horizontal="left" vertical="top" wrapText="1"/>
    </xf>
    <xf numFmtId="0" fontId="0" fillId="16" borderId="29" xfId="0" applyFill="1" applyBorder="1" applyAlignment="1">
      <alignment horizontal="left" vertical="top" wrapText="1"/>
    </xf>
    <xf numFmtId="0" fontId="0" fillId="16" borderId="30" xfId="0" applyFill="1" applyBorder="1" applyAlignment="1">
      <alignment horizontal="left" vertical="top" wrapText="1"/>
    </xf>
    <xf numFmtId="0" fontId="55" fillId="16" borderId="29" xfId="0" applyFont="1" applyFill="1" applyBorder="1" applyAlignment="1">
      <alignment horizontal="left" vertical="top" wrapText="1"/>
    </xf>
    <xf numFmtId="0" fontId="17" fillId="16" borderId="141" xfId="3" applyFont="1" applyFill="1" applyBorder="1" applyAlignment="1">
      <alignment horizontal="right" vertical="top" wrapText="1"/>
    </xf>
    <xf numFmtId="0" fontId="57" fillId="16" borderId="141" xfId="3" applyFont="1" applyFill="1" applyBorder="1" applyAlignment="1">
      <alignment horizontal="right" vertical="top" wrapText="1"/>
    </xf>
    <xf numFmtId="0" fontId="17" fillId="16" borderId="142" xfId="3" applyFont="1" applyFill="1" applyBorder="1" applyAlignment="1">
      <alignment horizontal="right" vertical="top" wrapText="1"/>
    </xf>
    <xf numFmtId="0" fontId="57" fillId="16" borderId="30" xfId="3" applyFont="1" applyFill="1" applyBorder="1" applyAlignment="1">
      <alignment horizontal="right" vertical="top" wrapText="1"/>
    </xf>
    <xf numFmtId="0" fontId="0" fillId="7" borderId="6" xfId="0" applyFill="1" applyBorder="1" applyAlignment="1">
      <alignment horizontal="left" vertical="top" wrapText="1"/>
    </xf>
    <xf numFmtId="166" fontId="58" fillId="20" borderId="24" xfId="5" applyNumberFormat="1" applyFont="1" applyFill="1" applyBorder="1" applyAlignment="1">
      <alignment horizontal="center" vertical="center" wrapText="1"/>
    </xf>
    <xf numFmtId="166" fontId="58" fillId="20" borderId="0" xfId="5" applyNumberFormat="1" applyFont="1" applyFill="1" applyAlignment="1">
      <alignment horizontal="center" vertical="center" wrapText="1"/>
    </xf>
    <xf numFmtId="166" fontId="58" fillId="20" borderId="6" xfId="5" applyNumberFormat="1" applyFont="1" applyFill="1" applyBorder="1" applyAlignment="1">
      <alignment horizontal="center" vertical="center" wrapText="1"/>
    </xf>
    <xf numFmtId="166" fontId="57" fillId="23" borderId="137" xfId="5" applyNumberFormat="1" applyFont="1" applyFill="1" applyBorder="1" applyAlignment="1">
      <alignment horizontal="center" vertical="center" wrapText="1"/>
    </xf>
    <xf numFmtId="166" fontId="57" fillId="23" borderId="138" xfId="5" applyNumberFormat="1" applyFont="1" applyFill="1" applyBorder="1" applyAlignment="1">
      <alignment horizontal="center" vertical="center" wrapText="1"/>
    </xf>
    <xf numFmtId="166" fontId="57" fillId="20" borderId="138" xfId="5" applyNumberFormat="1" applyFont="1" applyFill="1" applyBorder="1" applyAlignment="1">
      <alignment horizontal="center" vertical="center" wrapText="1"/>
    </xf>
    <xf numFmtId="166" fontId="57" fillId="23" borderId="139" xfId="5" applyNumberFormat="1" applyFont="1" applyFill="1" applyBorder="1" applyAlignment="1">
      <alignment horizontal="center" vertical="center" wrapText="1"/>
    </xf>
    <xf numFmtId="166" fontId="57" fillId="20" borderId="140" xfId="5" applyNumberFormat="1" applyFont="1" applyFill="1" applyBorder="1" applyAlignment="1">
      <alignment horizontal="center" vertical="center" wrapText="1"/>
    </xf>
    <xf numFmtId="9" fontId="35" fillId="0" borderId="24" xfId="0" applyNumberFormat="1" applyFont="1" applyBorder="1" applyAlignment="1">
      <alignment horizontal="left" vertical="top" wrapText="1"/>
    </xf>
    <xf numFmtId="166" fontId="57" fillId="23" borderId="41" xfId="5" applyNumberFormat="1" applyFont="1" applyFill="1" applyBorder="1" applyAlignment="1">
      <alignment horizontal="center" vertical="center" wrapText="1"/>
    </xf>
    <xf numFmtId="166" fontId="57" fillId="23" borderId="17" xfId="5" applyNumberFormat="1" applyFont="1" applyFill="1" applyBorder="1" applyAlignment="1">
      <alignment horizontal="center" vertical="center" wrapText="1"/>
    </xf>
    <xf numFmtId="166" fontId="57" fillId="23" borderId="127" xfId="5" applyNumberFormat="1" applyFont="1" applyFill="1" applyBorder="1" applyAlignment="1">
      <alignment horizontal="center" vertical="center" wrapText="1"/>
    </xf>
    <xf numFmtId="0" fontId="0" fillId="7" borderId="5" xfId="0" applyFill="1" applyBorder="1" applyAlignment="1">
      <alignment horizontal="left" vertical="top" wrapText="1"/>
    </xf>
    <xf numFmtId="166" fontId="58" fillId="20" borderId="15" xfId="5" applyNumberFormat="1" applyFont="1" applyFill="1" applyBorder="1" applyAlignment="1">
      <alignment horizontal="center" vertical="center" wrapText="1"/>
    </xf>
    <xf numFmtId="166" fontId="58" fillId="20" borderId="26" xfId="5" applyNumberFormat="1" applyFont="1" applyFill="1" applyBorder="1" applyAlignment="1">
      <alignment horizontal="center" vertical="center" wrapText="1"/>
    </xf>
    <xf numFmtId="166" fontId="58" fillId="20" borderId="5" xfId="5" applyNumberFormat="1" applyFont="1" applyFill="1" applyBorder="1" applyAlignment="1">
      <alignment horizontal="center" vertical="center" wrapText="1"/>
    </xf>
    <xf numFmtId="166" fontId="57" fillId="23" borderId="85" xfId="5" applyNumberFormat="1" applyFont="1" applyFill="1" applyBorder="1" applyAlignment="1">
      <alignment horizontal="center" vertical="center" wrapText="1"/>
    </xf>
    <xf numFmtId="166" fontId="57" fillId="23" borderId="56" xfId="5" applyNumberFormat="1" applyFont="1" applyFill="1" applyBorder="1" applyAlignment="1">
      <alignment horizontal="center" vertical="center" wrapText="1"/>
    </xf>
    <xf numFmtId="166" fontId="57" fillId="23" borderId="128" xfId="5" applyNumberFormat="1" applyFont="1" applyFill="1" applyBorder="1" applyAlignment="1">
      <alignment horizontal="center" vertical="center" wrapText="1"/>
    </xf>
    <xf numFmtId="166" fontId="57" fillId="23" borderId="84" xfId="5" applyNumberFormat="1" applyFont="1" applyFill="1" applyBorder="1" applyAlignment="1">
      <alignment horizontal="center" vertical="center" wrapText="1"/>
    </xf>
    <xf numFmtId="166" fontId="57" fillId="23" borderId="53" xfId="5" applyNumberFormat="1" applyFont="1" applyFill="1" applyBorder="1" applyAlignment="1">
      <alignment horizontal="center" vertical="center" wrapText="1"/>
    </xf>
    <xf numFmtId="166" fontId="57" fillId="23" borderId="129" xfId="5" applyNumberFormat="1" applyFont="1" applyFill="1" applyBorder="1" applyAlignment="1">
      <alignment horizontal="center" vertical="center" wrapText="1"/>
    </xf>
    <xf numFmtId="166" fontId="57" fillId="20" borderId="97" xfId="5" applyNumberFormat="1" applyFont="1" applyFill="1" applyBorder="1" applyAlignment="1">
      <alignment horizontal="center" vertical="center" wrapText="1"/>
    </xf>
    <xf numFmtId="167" fontId="58" fillId="20" borderId="24" xfId="5" applyNumberFormat="1" applyFont="1" applyFill="1" applyBorder="1" applyAlignment="1">
      <alignment horizontal="center" vertical="center" wrapText="1"/>
    </xf>
    <xf numFmtId="167" fontId="58" fillId="20" borderId="0" xfId="5" applyNumberFormat="1" applyFont="1" applyFill="1" applyAlignment="1">
      <alignment horizontal="center" vertical="center" wrapText="1"/>
    </xf>
    <xf numFmtId="167" fontId="58" fillId="20" borderId="6" xfId="5" applyNumberFormat="1" applyFont="1" applyFill="1" applyBorder="1" applyAlignment="1">
      <alignment horizontal="center" vertical="center" wrapText="1"/>
    </xf>
    <xf numFmtId="167" fontId="57" fillId="23" borderId="84" xfId="5" applyNumberFormat="1" applyFont="1" applyFill="1" applyBorder="1" applyAlignment="1">
      <alignment horizontal="center" vertical="center" wrapText="1"/>
    </xf>
    <xf numFmtId="167" fontId="57" fillId="23" borderId="53" xfId="5" applyNumberFormat="1" applyFont="1" applyFill="1" applyBorder="1" applyAlignment="1">
      <alignment horizontal="center" vertical="center" wrapText="1"/>
    </xf>
    <xf numFmtId="167" fontId="57" fillId="20" borderId="53" xfId="5" applyNumberFormat="1" applyFont="1" applyFill="1" applyBorder="1" applyAlignment="1">
      <alignment horizontal="center" vertical="center" wrapText="1"/>
    </xf>
    <xf numFmtId="167" fontId="57" fillId="23" borderId="129" xfId="5" applyNumberFormat="1" applyFont="1" applyFill="1" applyBorder="1" applyAlignment="1">
      <alignment horizontal="center" vertical="center" wrapText="1"/>
    </xf>
    <xf numFmtId="167" fontId="57" fillId="20" borderId="97" xfId="5" applyNumberFormat="1" applyFont="1" applyFill="1" applyBorder="1" applyAlignment="1">
      <alignment horizontal="center" vertical="center" wrapText="1"/>
    </xf>
    <xf numFmtId="167" fontId="57" fillId="23" borderId="41" xfId="5" applyNumberFormat="1" applyFont="1" applyFill="1" applyBorder="1" applyAlignment="1">
      <alignment horizontal="center" vertical="center" wrapText="1"/>
    </xf>
    <xf numFmtId="167" fontId="57" fillId="23" borderId="17" xfId="5" applyNumberFormat="1" applyFont="1" applyFill="1" applyBorder="1" applyAlignment="1">
      <alignment horizontal="center" vertical="center" wrapText="1"/>
    </xf>
    <xf numFmtId="167" fontId="57" fillId="20" borderId="17" xfId="5" applyNumberFormat="1" applyFont="1" applyFill="1" applyBorder="1" applyAlignment="1">
      <alignment horizontal="center" vertical="center" wrapText="1"/>
    </xf>
    <xf numFmtId="167" fontId="57" fillId="23" borderId="127" xfId="5" applyNumberFormat="1" applyFont="1" applyFill="1" applyBorder="1" applyAlignment="1">
      <alignment horizontal="center" vertical="center" wrapText="1"/>
    </xf>
    <xf numFmtId="167" fontId="57" fillId="20" borderId="98" xfId="5" applyNumberFormat="1" applyFont="1" applyFill="1" applyBorder="1" applyAlignment="1">
      <alignment horizontal="center" vertical="center" wrapText="1"/>
    </xf>
    <xf numFmtId="167" fontId="58" fillId="20" borderId="15" xfId="5" applyNumberFormat="1" applyFont="1" applyFill="1" applyBorder="1" applyAlignment="1">
      <alignment horizontal="center" vertical="center" wrapText="1"/>
    </xf>
    <xf numFmtId="167" fontId="58" fillId="20" borderId="26" xfId="5" applyNumberFormat="1" applyFont="1" applyFill="1" applyBorder="1" applyAlignment="1">
      <alignment horizontal="center" vertical="center" wrapText="1"/>
    </xf>
    <xf numFmtId="167" fontId="58" fillId="20" borderId="5" xfId="5" applyNumberFormat="1" applyFont="1" applyFill="1" applyBorder="1" applyAlignment="1">
      <alignment horizontal="center" vertical="center" wrapText="1"/>
    </xf>
    <xf numFmtId="167" fontId="57" fillId="23" borderId="85" xfId="5" applyNumberFormat="1" applyFont="1" applyFill="1" applyBorder="1" applyAlignment="1">
      <alignment horizontal="center" vertical="center" wrapText="1"/>
    </xf>
    <xf numFmtId="167" fontId="57" fillId="23" borderId="56" xfId="5" applyNumberFormat="1" applyFont="1" applyFill="1" applyBorder="1" applyAlignment="1">
      <alignment horizontal="center" vertical="center" wrapText="1"/>
    </xf>
    <xf numFmtId="167" fontId="57" fillId="20" borderId="56" xfId="5" applyNumberFormat="1" applyFont="1" applyFill="1" applyBorder="1" applyAlignment="1">
      <alignment horizontal="center" vertical="center" wrapText="1"/>
    </xf>
    <xf numFmtId="167" fontId="57" fillId="23" borderId="128" xfId="5" applyNumberFormat="1" applyFont="1" applyFill="1" applyBorder="1" applyAlignment="1">
      <alignment horizontal="center" vertical="center" wrapText="1"/>
    </xf>
    <xf numFmtId="167" fontId="57" fillId="20" borderId="99" xfId="5" applyNumberFormat="1" applyFont="1" applyFill="1" applyBorder="1" applyAlignment="1">
      <alignment horizontal="center" vertical="center" wrapText="1"/>
    </xf>
    <xf numFmtId="0" fontId="0" fillId="0" borderId="20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6" xfId="0" applyBorder="1" applyAlignment="1">
      <alignment horizontal="left"/>
    </xf>
    <xf numFmtId="3" fontId="10" fillId="4" borderId="80" xfId="2" applyNumberFormat="1" applyBorder="1" applyAlignment="1">
      <alignment horizontal="right"/>
    </xf>
    <xf numFmtId="3" fontId="10" fillId="4" borderId="93" xfId="2" applyNumberFormat="1" applyBorder="1" applyProtection="1">
      <protection locked="0"/>
    </xf>
    <xf numFmtId="3" fontId="10" fillId="4" borderId="36" xfId="2" applyNumberFormat="1" applyBorder="1" applyProtection="1">
      <protection locked="0"/>
    </xf>
    <xf numFmtId="3" fontId="10" fillId="4" borderId="78" xfId="2" applyNumberFormat="1" applyBorder="1" applyProtection="1">
      <protection locked="0"/>
    </xf>
    <xf numFmtId="0" fontId="8" fillId="26" borderId="4" xfId="0" applyFont="1" applyFill="1" applyBorder="1" applyAlignment="1">
      <alignment horizontal="left" vertical="top" wrapText="1"/>
    </xf>
    <xf numFmtId="0" fontId="8" fillId="26" borderId="5" xfId="0" applyFont="1" applyFill="1" applyBorder="1" applyAlignment="1">
      <alignment horizontal="justify" vertical="top" wrapText="1"/>
    </xf>
    <xf numFmtId="0" fontId="8" fillId="26" borderId="5" xfId="0" applyFont="1" applyFill="1" applyBorder="1" applyAlignment="1">
      <alignment horizontal="center" vertical="top" wrapText="1"/>
    </xf>
    <xf numFmtId="0" fontId="8" fillId="26" borderId="6" xfId="0" applyFont="1" applyFill="1" applyBorder="1" applyAlignment="1">
      <alignment horizontal="justify" vertical="top" wrapText="1"/>
    </xf>
    <xf numFmtId="0" fontId="8" fillId="26" borderId="24" xfId="0" applyFont="1" applyFill="1" applyBorder="1" applyAlignment="1">
      <alignment horizontal="left" vertical="top" wrapText="1"/>
    </xf>
    <xf numFmtId="0" fontId="8" fillId="26" borderId="69" xfId="0" applyFont="1" applyFill="1" applyBorder="1" applyAlignment="1">
      <alignment horizontal="justify" vertical="top" wrapText="1"/>
    </xf>
    <xf numFmtId="0" fontId="8" fillId="26" borderId="6" xfId="0" applyFont="1" applyFill="1" applyBorder="1" applyAlignment="1">
      <alignment horizontal="center" vertical="top" wrapText="1"/>
    </xf>
    <xf numFmtId="0" fontId="8" fillId="26" borderId="69" xfId="0" applyFont="1" applyFill="1" applyBorder="1" applyAlignment="1">
      <alignment horizontal="left" vertical="top" wrapText="1"/>
    </xf>
    <xf numFmtId="0" fontId="8" fillId="26" borderId="69" xfId="0" applyFont="1" applyFill="1" applyBorder="1" applyAlignment="1">
      <alignment horizontal="center" vertical="top" wrapText="1"/>
    </xf>
    <xf numFmtId="2" fontId="6" fillId="17" borderId="6" xfId="1" applyNumberFormat="1" applyFont="1" applyFill="1" applyBorder="1" applyAlignment="1">
      <alignment vertical="top" wrapText="1"/>
    </xf>
    <xf numFmtId="2" fontId="6" fillId="17" borderId="69" xfId="1" applyNumberFormat="1" applyFont="1" applyFill="1" applyBorder="1" applyAlignment="1">
      <alignment vertical="top" wrapText="1"/>
    </xf>
    <xf numFmtId="0" fontId="28" fillId="0" borderId="0" xfId="0" applyFont="1" applyAlignment="1">
      <alignment vertical="center"/>
    </xf>
    <xf numFmtId="164" fontId="11" fillId="19" borderId="147" xfId="5" applyNumberFormat="1" applyFont="1" applyFill="1" applyBorder="1"/>
    <xf numFmtId="0" fontId="56" fillId="0" borderId="0" xfId="0" applyFont="1"/>
    <xf numFmtId="0" fontId="0" fillId="0" borderId="125" xfId="0" applyBorder="1"/>
    <xf numFmtId="0" fontId="0" fillId="0" borderId="34" xfId="0" applyBorder="1"/>
    <xf numFmtId="0" fontId="0" fillId="17" borderId="113" xfId="0" applyFill="1" applyBorder="1"/>
    <xf numFmtId="44" fontId="40" fillId="17" borderId="165" xfId="7" applyFont="1" applyFill="1" applyBorder="1" applyAlignment="1">
      <alignment horizontal="left" vertical="center"/>
    </xf>
    <xf numFmtId="0" fontId="40" fillId="17" borderId="166" xfId="0" applyFont="1" applyFill="1" applyBorder="1" applyAlignment="1">
      <alignment horizontal="left" vertical="center"/>
    </xf>
    <xf numFmtId="44" fontId="40" fillId="17" borderId="168" xfId="7" applyFont="1" applyFill="1" applyBorder="1" applyAlignment="1">
      <alignment horizontal="left" vertical="center"/>
    </xf>
    <xf numFmtId="0" fontId="38" fillId="12" borderId="69" xfId="0" applyFont="1" applyFill="1" applyBorder="1" applyAlignment="1">
      <alignment horizontal="left" vertical="center"/>
    </xf>
    <xf numFmtId="0" fontId="40" fillId="17" borderId="166" xfId="0" applyFont="1" applyFill="1" applyBorder="1" applyAlignment="1">
      <alignment horizontal="center" vertical="center"/>
    </xf>
    <xf numFmtId="0" fontId="40" fillId="17" borderId="135" xfId="0" applyFont="1" applyFill="1" applyBorder="1" applyAlignment="1">
      <alignment horizontal="center" vertical="center"/>
    </xf>
    <xf numFmtId="44" fontId="57" fillId="20" borderId="167" xfId="7" applyFont="1" applyFill="1" applyBorder="1" applyAlignment="1">
      <alignment horizontal="center" vertical="center" wrapText="1"/>
    </xf>
    <xf numFmtId="0" fontId="38" fillId="12" borderId="69" xfId="0" applyFont="1" applyFill="1" applyBorder="1" applyAlignment="1">
      <alignment horizontal="center" vertical="center"/>
    </xf>
    <xf numFmtId="44" fontId="40" fillId="17" borderId="135" xfId="7" applyFont="1" applyFill="1" applyBorder="1" applyAlignment="1">
      <alignment horizontal="center" vertical="center"/>
    </xf>
    <xf numFmtId="164" fontId="63" fillId="19" borderId="22" xfId="5" applyNumberFormat="1" applyFont="1" applyFill="1" applyBorder="1"/>
    <xf numFmtId="164" fontId="63" fillId="19" borderId="125" xfId="5" applyNumberFormat="1" applyFont="1" applyFill="1" applyBorder="1"/>
    <xf numFmtId="164" fontId="63" fillId="19" borderId="147" xfId="5" applyNumberFormat="1" applyFont="1" applyFill="1" applyBorder="1"/>
    <xf numFmtId="164" fontId="58" fillId="22" borderId="22" xfId="5" applyNumberFormat="1" applyFont="1" applyFill="1" applyBorder="1"/>
    <xf numFmtId="164" fontId="58" fillId="22" borderId="125" xfId="5" applyNumberFormat="1" applyFont="1" applyFill="1" applyBorder="1"/>
    <xf numFmtId="164" fontId="58" fillId="22" borderId="147" xfId="5" applyNumberFormat="1" applyFont="1" applyFill="1" applyBorder="1"/>
    <xf numFmtId="164" fontId="64" fillId="21" borderId="22" xfId="5" applyNumberFormat="1" applyFont="1" applyFill="1" applyBorder="1"/>
    <xf numFmtId="164" fontId="64" fillId="21" borderId="125" xfId="5" applyNumberFormat="1" applyFont="1" applyFill="1" applyBorder="1"/>
    <xf numFmtId="164" fontId="64" fillId="21" borderId="147" xfId="5" applyNumberFormat="1" applyFont="1" applyFill="1" applyBorder="1"/>
    <xf numFmtId="164" fontId="64" fillId="21" borderId="22" xfId="5" applyNumberFormat="1" applyFont="1" applyFill="1" applyBorder="1" applyAlignment="1">
      <alignment horizontal="center"/>
    </xf>
    <xf numFmtId="164" fontId="64" fillId="21" borderId="125" xfId="5" applyNumberFormat="1" applyFont="1" applyFill="1" applyBorder="1" applyAlignment="1">
      <alignment horizontal="center"/>
    </xf>
    <xf numFmtId="164" fontId="64" fillId="21" borderId="147" xfId="5" applyNumberFormat="1" applyFont="1" applyFill="1" applyBorder="1" applyAlignment="1">
      <alignment horizontal="center"/>
    </xf>
    <xf numFmtId="164" fontId="64" fillId="21" borderId="86" xfId="5" applyNumberFormat="1" applyFont="1" applyFill="1" applyBorder="1"/>
    <xf numFmtId="164" fontId="64" fillId="21" borderId="122" xfId="5" applyNumberFormat="1" applyFont="1" applyFill="1" applyBorder="1"/>
    <xf numFmtId="164" fontId="64" fillId="21" borderId="154" xfId="5" applyNumberFormat="1" applyFont="1" applyFill="1" applyBorder="1"/>
    <xf numFmtId="164" fontId="64" fillId="21" borderId="148" xfId="5" applyNumberFormat="1" applyFont="1" applyFill="1" applyBorder="1"/>
    <xf numFmtId="0" fontId="68" fillId="13" borderId="6" xfId="0" applyFont="1" applyFill="1" applyBorder="1" applyAlignment="1">
      <alignment horizontal="center" vertical="center"/>
    </xf>
    <xf numFmtId="0" fontId="37" fillId="17" borderId="24" xfId="0" applyFont="1" applyFill="1" applyBorder="1" applyAlignment="1">
      <alignment horizontal="center" vertical="center"/>
    </xf>
    <xf numFmtId="0" fontId="37" fillId="17" borderId="131" xfId="0" applyFont="1" applyFill="1" applyBorder="1" applyAlignment="1">
      <alignment horizontal="center" vertical="center"/>
    </xf>
    <xf numFmtId="0" fontId="37" fillId="17" borderId="132" xfId="0" applyFont="1" applyFill="1" applyBorder="1" applyAlignment="1">
      <alignment horizontal="center" vertical="center"/>
    </xf>
    <xf numFmtId="0" fontId="37" fillId="17" borderId="136" xfId="3" applyFont="1" applyFill="1" applyBorder="1" applyAlignment="1">
      <alignment horizontal="center"/>
    </xf>
    <xf numFmtId="0" fontId="37" fillId="17" borderId="92" xfId="3" applyFont="1" applyFill="1" applyBorder="1" applyAlignment="1">
      <alignment horizontal="center"/>
    </xf>
    <xf numFmtId="0" fontId="65" fillId="22" borderId="65" xfId="0" applyFont="1" applyFill="1" applyBorder="1" applyAlignment="1">
      <alignment horizontal="center" vertical="center"/>
    </xf>
    <xf numFmtId="0" fontId="65" fillId="22" borderId="64" xfId="0" applyFont="1" applyFill="1" applyBorder="1" applyAlignment="1">
      <alignment horizontal="center" vertical="center"/>
    </xf>
    <xf numFmtId="0" fontId="58" fillId="22" borderId="119" xfId="0" applyFont="1" applyFill="1" applyBorder="1"/>
    <xf numFmtId="0" fontId="58" fillId="22" borderId="60" xfId="0" applyFont="1" applyFill="1" applyBorder="1"/>
    <xf numFmtId="0" fontId="58" fillId="22" borderId="22" xfId="0" applyFont="1" applyFill="1" applyBorder="1"/>
    <xf numFmtId="0" fontId="58" fillId="22" borderId="113" xfId="0" applyFont="1" applyFill="1" applyBorder="1"/>
    <xf numFmtId="0" fontId="58" fillId="22" borderId="86" xfId="0" applyFont="1" applyFill="1" applyBorder="1"/>
    <xf numFmtId="0" fontId="58" fillId="22" borderId="116" xfId="0" applyFont="1" applyFill="1" applyBorder="1"/>
    <xf numFmtId="0" fontId="58" fillId="22" borderId="115" xfId="0" applyFont="1" applyFill="1" applyBorder="1"/>
    <xf numFmtId="4" fontId="67" fillId="24" borderId="51" xfId="2" applyNumberFormat="1" applyFont="1" applyFill="1" applyBorder="1" applyAlignment="1">
      <alignment horizontal="right" vertical="top" wrapText="1"/>
    </xf>
    <xf numFmtId="4" fontId="67" fillId="24" borderId="42" xfId="2" applyNumberFormat="1" applyFont="1" applyFill="1" applyBorder="1" applyAlignment="1">
      <alignment horizontal="right" vertical="top" wrapText="1"/>
    </xf>
    <xf numFmtId="4" fontId="67" fillId="24" borderId="52" xfId="2" applyNumberFormat="1" applyFont="1" applyFill="1" applyBorder="1" applyAlignment="1">
      <alignment horizontal="right" vertical="top" wrapText="1"/>
    </xf>
    <xf numFmtId="4" fontId="67" fillId="24" borderId="106" xfId="2" applyNumberFormat="1" applyFont="1" applyFill="1" applyBorder="1" applyAlignment="1">
      <alignment horizontal="right" vertical="top" wrapText="1"/>
    </xf>
    <xf numFmtId="4" fontId="67" fillId="24" borderId="95" xfId="2" applyNumberFormat="1" applyFont="1" applyFill="1" applyBorder="1" applyAlignment="1">
      <alignment horizontal="right" vertical="top" wrapText="1"/>
    </xf>
    <xf numFmtId="4" fontId="67" fillId="24" borderId="109" xfId="2" applyNumberFormat="1" applyFont="1" applyFill="1" applyBorder="1" applyAlignment="1">
      <alignment horizontal="right" vertical="top" wrapText="1"/>
    </xf>
    <xf numFmtId="4" fontId="67" fillId="24" borderId="107" xfId="2" applyNumberFormat="1" applyFont="1" applyFill="1" applyBorder="1" applyAlignment="1">
      <alignment horizontal="right" vertical="top" wrapText="1"/>
    </xf>
    <xf numFmtId="4" fontId="67" fillId="24" borderId="46" xfId="2" applyNumberFormat="1" applyFont="1" applyFill="1" applyBorder="1" applyAlignment="1">
      <alignment horizontal="right" vertical="top" wrapText="1"/>
    </xf>
    <xf numFmtId="4" fontId="67" fillId="24" borderId="45" xfId="2" applyNumberFormat="1" applyFont="1" applyFill="1" applyBorder="1" applyAlignment="1">
      <alignment horizontal="right" vertical="top" wrapText="1"/>
    </xf>
    <xf numFmtId="4" fontId="66" fillId="24" borderId="26" xfId="1" applyNumberFormat="1" applyFont="1" applyFill="1" applyBorder="1" applyAlignment="1">
      <alignment horizontal="right" vertical="top" wrapText="1"/>
    </xf>
    <xf numFmtId="4" fontId="67" fillId="24" borderId="44" xfId="2" applyNumberFormat="1" applyFont="1" applyFill="1" applyBorder="1" applyAlignment="1">
      <alignment horizontal="right" vertical="top" wrapText="1"/>
    </xf>
    <xf numFmtId="4" fontId="67" fillId="24" borderId="108" xfId="2" applyNumberFormat="1" applyFont="1" applyFill="1" applyBorder="1" applyAlignment="1">
      <alignment horizontal="right" vertical="top" wrapText="1"/>
    </xf>
    <xf numFmtId="4" fontId="67" fillId="24" borderId="43" xfId="2" applyNumberFormat="1" applyFont="1" applyFill="1" applyBorder="1" applyAlignment="1">
      <alignment horizontal="right" vertical="top" wrapText="1"/>
    </xf>
    <xf numFmtId="0" fontId="67" fillId="24" borderId="70" xfId="0" applyFont="1" applyFill="1" applyBorder="1" applyAlignment="1">
      <alignment horizontal="left" vertical="top" wrapText="1"/>
    </xf>
    <xf numFmtId="164" fontId="67" fillId="24" borderId="110" xfId="5" applyNumberFormat="1" applyFont="1" applyFill="1" applyBorder="1" applyAlignment="1">
      <alignment horizontal="right" vertical="top" wrapText="1"/>
    </xf>
    <xf numFmtId="164" fontId="67" fillId="24" borderId="111" xfId="5" applyNumberFormat="1" applyFont="1" applyFill="1" applyBorder="1" applyAlignment="1">
      <alignment horizontal="right" vertical="top" wrapText="1"/>
    </xf>
    <xf numFmtId="164" fontId="67" fillId="24" borderId="112" xfId="5" applyNumberFormat="1" applyFont="1" applyFill="1" applyBorder="1" applyAlignment="1">
      <alignment horizontal="right" vertical="top" wrapText="1"/>
    </xf>
    <xf numFmtId="164" fontId="67" fillId="24" borderId="47" xfId="5" applyNumberFormat="1" applyFont="1" applyFill="1" applyBorder="1" applyAlignment="1">
      <alignment horizontal="right" vertical="top" wrapText="1"/>
    </xf>
    <xf numFmtId="164" fontId="67" fillId="24" borderId="48" xfId="5" applyNumberFormat="1" applyFont="1" applyFill="1" applyBorder="1" applyAlignment="1">
      <alignment horizontal="right" vertical="top" wrapText="1"/>
    </xf>
    <xf numFmtId="164" fontId="67" fillId="24" borderId="49" xfId="5" applyNumberFormat="1" applyFont="1" applyFill="1" applyBorder="1" applyAlignment="1">
      <alignment horizontal="right" vertical="top" wrapText="1"/>
    </xf>
    <xf numFmtId="0" fontId="41" fillId="14" borderId="26" xfId="0" applyFont="1" applyFill="1" applyBorder="1"/>
    <xf numFmtId="0" fontId="38" fillId="12" borderId="8" xfId="0" applyFont="1" applyFill="1" applyBorder="1" applyAlignment="1">
      <alignment horizontal="center" vertical="center" wrapText="1"/>
    </xf>
    <xf numFmtId="0" fontId="68" fillId="13" borderId="5" xfId="0" applyFont="1" applyFill="1" applyBorder="1" applyAlignment="1">
      <alignment horizontal="center" vertical="center"/>
    </xf>
    <xf numFmtId="0" fontId="43" fillId="17" borderId="169" xfId="0" applyFont="1" applyFill="1" applyBorder="1" applyAlignment="1">
      <alignment horizontal="center" vertical="center"/>
    </xf>
    <xf numFmtId="0" fontId="43" fillId="17" borderId="170" xfId="0" applyFont="1" applyFill="1" applyBorder="1" applyAlignment="1">
      <alignment horizontal="center" vertical="center"/>
    </xf>
    <xf numFmtId="0" fontId="43" fillId="17" borderId="171" xfId="0" applyFont="1" applyFill="1" applyBorder="1" applyAlignment="1">
      <alignment horizontal="center" vertical="center"/>
    </xf>
    <xf numFmtId="0" fontId="43" fillId="17" borderId="172" xfId="0" applyFont="1" applyFill="1" applyBorder="1" applyAlignment="1">
      <alignment horizontal="center" vertical="center"/>
    </xf>
    <xf numFmtId="0" fontId="43" fillId="17" borderId="173" xfId="0" applyFont="1" applyFill="1" applyBorder="1" applyAlignment="1">
      <alignment horizontal="center" vertical="center"/>
    </xf>
    <xf numFmtId="0" fontId="43" fillId="17" borderId="174" xfId="0" applyFont="1" applyFill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125" xfId="0" applyFont="1" applyBorder="1" applyAlignment="1">
      <alignment horizontal="center" vertical="center"/>
    </xf>
    <xf numFmtId="0" fontId="11" fillId="0" borderId="89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 wrapText="1"/>
    </xf>
    <xf numFmtId="164" fontId="64" fillId="0" borderId="122" xfId="5" applyNumberFormat="1" applyFont="1" applyBorder="1"/>
    <xf numFmtId="164" fontId="64" fillId="0" borderId="18" xfId="5" applyNumberFormat="1" applyFont="1" applyBorder="1"/>
    <xf numFmtId="164" fontId="58" fillId="22" borderId="22" xfId="5" applyNumberFormat="1" applyFont="1" applyFill="1" applyBorder="1" applyAlignment="1">
      <alignment horizontal="center"/>
    </xf>
    <xf numFmtId="164" fontId="64" fillId="21" borderId="86" xfId="5" applyNumberFormat="1" applyFont="1" applyFill="1" applyBorder="1" applyAlignment="1">
      <alignment horizontal="center"/>
    </xf>
    <xf numFmtId="164" fontId="63" fillId="19" borderId="22" xfId="5" applyNumberFormat="1" applyFont="1" applyFill="1" applyBorder="1" applyAlignment="1">
      <alignment horizontal="center"/>
    </xf>
    <xf numFmtId="164" fontId="64" fillId="22" borderId="22" xfId="5" applyNumberFormat="1" applyFont="1" applyFill="1" applyBorder="1"/>
    <xf numFmtId="164" fontId="64" fillId="22" borderId="125" xfId="5" applyNumberFormat="1" applyFont="1" applyFill="1" applyBorder="1"/>
    <xf numFmtId="164" fontId="35" fillId="0" borderId="18" xfId="5" applyNumberFormat="1" applyFont="1" applyBorder="1"/>
    <xf numFmtId="164" fontId="35" fillId="0" borderId="23" xfId="5" applyNumberFormat="1" applyFont="1" applyBorder="1"/>
    <xf numFmtId="0" fontId="38" fillId="12" borderId="0" xfId="0" applyFont="1" applyFill="1" applyAlignment="1">
      <alignment vertical="center" wrapText="1"/>
    </xf>
    <xf numFmtId="0" fontId="70" fillId="0" borderId="0" xfId="0" applyFont="1"/>
    <xf numFmtId="0" fontId="71" fillId="0" borderId="0" xfId="0" applyFont="1"/>
    <xf numFmtId="8" fontId="40" fillId="17" borderId="166" xfId="7" applyNumberFormat="1" applyFont="1" applyFill="1" applyBorder="1" applyAlignment="1">
      <alignment horizontal="center" vertical="center"/>
    </xf>
    <xf numFmtId="8" fontId="40" fillId="17" borderId="135" xfId="7" applyNumberFormat="1" applyFont="1" applyFill="1" applyBorder="1" applyAlignment="1">
      <alignment horizontal="center" vertical="center"/>
    </xf>
    <xf numFmtId="49" fontId="72" fillId="0" borderId="0" xfId="0" applyNumberFormat="1" applyFont="1"/>
    <xf numFmtId="0" fontId="72" fillId="0" borderId="0" xfId="0" applyFont="1"/>
    <xf numFmtId="0" fontId="74" fillId="12" borderId="8" xfId="0" applyFont="1" applyFill="1" applyBorder="1" applyAlignment="1">
      <alignment horizontal="left" vertical="center"/>
    </xf>
    <xf numFmtId="0" fontId="74" fillId="12" borderId="23" xfId="0" applyFont="1" applyFill="1" applyBorder="1" applyAlignment="1">
      <alignment horizontal="left" vertical="center"/>
    </xf>
    <xf numFmtId="0" fontId="74" fillId="12" borderId="14" xfId="0" applyFont="1" applyFill="1" applyBorder="1" applyAlignment="1">
      <alignment horizontal="center" vertical="center"/>
    </xf>
    <xf numFmtId="0" fontId="74" fillId="12" borderId="23" xfId="0" applyFont="1" applyFill="1" applyBorder="1" applyAlignment="1">
      <alignment horizontal="center" vertical="center"/>
    </xf>
    <xf numFmtId="0" fontId="74" fillId="12" borderId="13" xfId="0" applyFont="1" applyFill="1" applyBorder="1" applyAlignment="1">
      <alignment horizontal="center" vertical="center"/>
    </xf>
    <xf numFmtId="0" fontId="74" fillId="12" borderId="14" xfId="0" applyFont="1" applyFill="1" applyBorder="1" applyAlignment="1">
      <alignment horizontal="center" vertical="center" wrapText="1"/>
    </xf>
    <xf numFmtId="0" fontId="74" fillId="12" borderId="23" xfId="0" applyFont="1" applyFill="1" applyBorder="1" applyAlignment="1">
      <alignment horizontal="center" vertical="center" wrapText="1"/>
    </xf>
    <xf numFmtId="0" fontId="44" fillId="0" borderId="0" xfId="0" applyFont="1" applyAlignment="1">
      <alignment horizontal="center" vertical="center" wrapText="1"/>
    </xf>
    <xf numFmtId="49" fontId="73" fillId="0" borderId="0" xfId="0" applyNumberFormat="1" applyFont="1"/>
    <xf numFmtId="0" fontId="73" fillId="0" borderId="0" xfId="0" applyFont="1"/>
    <xf numFmtId="0" fontId="74" fillId="12" borderId="80" xfId="0" applyFont="1" applyFill="1" applyBorder="1" applyAlignment="1">
      <alignment vertical="top"/>
    </xf>
    <xf numFmtId="0" fontId="74" fillId="12" borderId="0" xfId="0" applyFont="1" applyFill="1" applyAlignment="1">
      <alignment vertical="top"/>
    </xf>
    <xf numFmtId="0" fontId="74" fillId="12" borderId="24" xfId="0" applyFont="1" applyFill="1" applyBorder="1" applyAlignment="1">
      <alignment horizontal="center" vertical="center"/>
    </xf>
    <xf numFmtId="0" fontId="74" fillId="12" borderId="0" xfId="0" applyFont="1" applyFill="1" applyAlignment="1">
      <alignment horizontal="center" vertical="center"/>
    </xf>
    <xf numFmtId="0" fontId="74" fillId="12" borderId="6" xfId="0" applyFont="1" applyFill="1" applyBorder="1" applyAlignment="1">
      <alignment horizontal="center" vertical="center"/>
    </xf>
    <xf numFmtId="0" fontId="74" fillId="12" borderId="24" xfId="0" applyFont="1" applyFill="1" applyBorder="1" applyAlignment="1">
      <alignment horizontal="center" vertical="center" wrapText="1"/>
    </xf>
    <xf numFmtId="0" fontId="74" fillId="12" borderId="0" xfId="0" applyFont="1" applyFill="1" applyAlignment="1">
      <alignment horizontal="center" vertical="center" wrapText="1"/>
    </xf>
    <xf numFmtId="0" fontId="74" fillId="0" borderId="0" xfId="0" applyFont="1" applyAlignment="1">
      <alignment vertical="top" wrapText="1"/>
    </xf>
    <xf numFmtId="0" fontId="71" fillId="17" borderId="135" xfId="0" applyFont="1" applyFill="1" applyBorder="1" applyAlignment="1">
      <alignment horizontal="left" vertical="center"/>
    </xf>
    <xf numFmtId="0" fontId="75" fillId="0" borderId="0" xfId="0" applyFont="1" applyAlignment="1">
      <alignment horizontal="center" vertical="center"/>
    </xf>
    <xf numFmtId="0" fontId="75" fillId="0" borderId="6" xfId="0" applyFont="1" applyBorder="1" applyAlignment="1">
      <alignment horizontal="center" vertical="center"/>
    </xf>
    <xf numFmtId="0" fontId="70" fillId="0" borderId="24" xfId="0" applyFont="1" applyBorder="1" applyAlignment="1">
      <alignment horizontal="center" vertical="center"/>
    </xf>
    <xf numFmtId="0" fontId="70" fillId="0" borderId="0" xfId="0" applyFont="1" applyAlignment="1">
      <alignment horizontal="center" vertical="center"/>
    </xf>
    <xf numFmtId="0" fontId="70" fillId="0" borderId="0" xfId="0" applyFont="1" applyAlignment="1">
      <alignment horizontal="left"/>
    </xf>
    <xf numFmtId="0" fontId="77" fillId="17" borderId="135" xfId="0" applyFont="1" applyFill="1" applyBorder="1" applyAlignment="1">
      <alignment horizontal="left" vertical="center"/>
    </xf>
    <xf numFmtId="0" fontId="75" fillId="0" borderId="24" xfId="0" applyFont="1" applyBorder="1" applyAlignment="1">
      <alignment horizontal="center" vertical="center"/>
    </xf>
    <xf numFmtId="0" fontId="76" fillId="22" borderId="131" xfId="0" applyFont="1" applyFill="1" applyBorder="1" applyAlignment="1">
      <alignment horizontal="center" vertical="center"/>
    </xf>
    <xf numFmtId="0" fontId="76" fillId="22" borderId="130" xfId="0" applyFont="1" applyFill="1" applyBorder="1" applyAlignment="1">
      <alignment horizontal="center" vertical="center"/>
    </xf>
    <xf numFmtId="0" fontId="70" fillId="0" borderId="131" xfId="0" applyFont="1" applyBorder="1" applyAlignment="1">
      <alignment horizontal="center" vertical="center"/>
    </xf>
    <xf numFmtId="0" fontId="70" fillId="0" borderId="130" xfId="0" applyFont="1" applyBorder="1" applyAlignment="1">
      <alignment horizontal="center" vertical="center"/>
    </xf>
    <xf numFmtId="0" fontId="78" fillId="17" borderId="135" xfId="0" applyFont="1" applyFill="1" applyBorder="1" applyAlignment="1">
      <alignment horizontal="left" vertical="center"/>
    </xf>
    <xf numFmtId="0" fontId="79" fillId="14" borderId="15" xfId="0" applyFont="1" applyFill="1" applyBorder="1" applyAlignment="1">
      <alignment horizontal="left" vertical="center"/>
    </xf>
    <xf numFmtId="0" fontId="79" fillId="14" borderId="29" xfId="0" applyFont="1" applyFill="1" applyBorder="1"/>
    <xf numFmtId="0" fontId="79" fillId="14" borderId="29" xfId="0" applyFont="1" applyFill="1" applyBorder="1" applyAlignment="1">
      <alignment horizontal="center" vertical="center"/>
    </xf>
    <xf numFmtId="0" fontId="79" fillId="14" borderId="26" xfId="0" applyFont="1" applyFill="1" applyBorder="1" applyAlignment="1">
      <alignment horizontal="center" vertical="center"/>
    </xf>
    <xf numFmtId="0" fontId="81" fillId="0" borderId="24" xfId="0" applyFont="1" applyBorder="1" applyAlignment="1">
      <alignment horizontal="left" vertical="center"/>
    </xf>
    <xf numFmtId="0" fontId="81" fillId="0" borderId="0" xfId="0" applyFont="1" applyAlignment="1">
      <alignment horizontal="center" vertical="center"/>
    </xf>
    <xf numFmtId="0" fontId="81" fillId="0" borderId="6" xfId="0" applyFont="1" applyBorder="1" applyAlignment="1">
      <alignment horizontal="center" vertical="center"/>
    </xf>
    <xf numFmtId="0" fontId="11" fillId="0" borderId="89" xfId="0" applyFont="1" applyBorder="1" applyAlignment="1">
      <alignment horizontal="center" vertical="center" wrapText="1"/>
    </xf>
    <xf numFmtId="0" fontId="12" fillId="6" borderId="22" xfId="0" applyFont="1" applyFill="1" applyBorder="1" applyAlignment="1">
      <alignment horizontal="center" wrapText="1"/>
    </xf>
    <xf numFmtId="0" fontId="0" fillId="17" borderId="22" xfId="0" applyFill="1" applyBorder="1" applyAlignment="1">
      <alignment horizontal="center" wrapText="1"/>
    </xf>
    <xf numFmtId="169" fontId="0" fillId="17" borderId="60" xfId="0" applyNumberFormat="1" applyFill="1" applyBorder="1"/>
    <xf numFmtId="169" fontId="0" fillId="17" borderId="22" xfId="0" applyNumberFormat="1" applyFill="1" applyBorder="1"/>
    <xf numFmtId="169" fontId="70" fillId="0" borderId="0" xfId="0" applyNumberFormat="1" applyFont="1"/>
    <xf numFmtId="169" fontId="74" fillId="12" borderId="23" xfId="0" applyNumberFormat="1" applyFont="1" applyFill="1" applyBorder="1" applyAlignment="1">
      <alignment horizontal="center" vertical="center" wrapText="1"/>
    </xf>
    <xf numFmtId="169" fontId="74" fillId="12" borderId="14" xfId="0" applyNumberFormat="1" applyFont="1" applyFill="1" applyBorder="1" applyAlignment="1">
      <alignment horizontal="center" vertical="center" wrapText="1"/>
    </xf>
    <xf numFmtId="169" fontId="74" fillId="12" borderId="13" xfId="0" applyNumberFormat="1" applyFont="1" applyFill="1" applyBorder="1" applyAlignment="1">
      <alignment horizontal="center" vertical="center" wrapText="1"/>
    </xf>
    <xf numFmtId="169" fontId="74" fillId="12" borderId="0" xfId="0" applyNumberFormat="1" applyFont="1" applyFill="1" applyAlignment="1">
      <alignment horizontal="center" vertical="center" wrapText="1"/>
    </xf>
    <xf numFmtId="169" fontId="74" fillId="12" borderId="24" xfId="0" applyNumberFormat="1" applyFont="1" applyFill="1" applyBorder="1" applyAlignment="1">
      <alignment horizontal="center" vertical="center" wrapText="1"/>
    </xf>
    <xf numFmtId="169" fontId="74" fillId="12" borderId="6" xfId="0" applyNumberFormat="1" applyFont="1" applyFill="1" applyBorder="1" applyAlignment="1">
      <alignment horizontal="center" vertical="center" wrapText="1"/>
    </xf>
    <xf numFmtId="169" fontId="70" fillId="0" borderId="0" xfId="0" applyNumberFormat="1" applyFont="1" applyAlignment="1">
      <alignment horizontal="center" vertical="center"/>
    </xf>
    <xf numFmtId="169" fontId="76" fillId="22" borderId="24" xfId="0" applyNumberFormat="1" applyFont="1" applyFill="1" applyBorder="1" applyAlignment="1">
      <alignment horizontal="center" vertical="center"/>
    </xf>
    <xf numFmtId="169" fontId="76" fillId="22" borderId="6" xfId="0" applyNumberFormat="1" applyFont="1" applyFill="1" applyBorder="1" applyAlignment="1">
      <alignment horizontal="center" vertical="center"/>
    </xf>
    <xf numFmtId="169" fontId="79" fillId="14" borderId="26" xfId="0" applyNumberFormat="1" applyFont="1" applyFill="1" applyBorder="1" applyAlignment="1">
      <alignment horizontal="center" vertical="center"/>
    </xf>
    <xf numFmtId="169" fontId="80" fillId="14" borderId="28" xfId="0" applyNumberFormat="1" applyFont="1" applyFill="1" applyBorder="1" applyAlignment="1">
      <alignment horizontal="center" vertical="center"/>
    </xf>
    <xf numFmtId="169" fontId="80" fillId="14" borderId="30" xfId="0" applyNumberFormat="1" applyFont="1" applyFill="1" applyBorder="1" applyAlignment="1">
      <alignment horizontal="center" vertical="center"/>
    </xf>
    <xf numFmtId="169" fontId="70" fillId="0" borderId="0" xfId="0" applyNumberFormat="1" applyFont="1" applyAlignment="1">
      <alignment horizontal="right"/>
    </xf>
    <xf numFmtId="170" fontId="81" fillId="0" borderId="0" xfId="0" applyNumberFormat="1" applyFont="1"/>
    <xf numFmtId="49" fontId="0" fillId="0" borderId="0" xfId="0" applyNumberFormat="1"/>
    <xf numFmtId="0" fontId="50" fillId="0" borderId="0" xfId="0" applyFont="1"/>
    <xf numFmtId="0" fontId="0" fillId="18" borderId="0" xfId="0" applyFill="1" applyAlignment="1">
      <alignment horizontal="left" vertical="center" wrapText="1"/>
    </xf>
    <xf numFmtId="0" fontId="0" fillId="18" borderId="24" xfId="0" applyFill="1" applyBorder="1" applyAlignment="1">
      <alignment horizontal="center" vertical="center" wrapText="1"/>
    </xf>
    <xf numFmtId="0" fontId="0" fillId="18" borderId="0" xfId="0" applyFill="1" applyAlignment="1">
      <alignment horizontal="center" vertical="center" wrapText="1"/>
    </xf>
    <xf numFmtId="0" fontId="0" fillId="18" borderId="6" xfId="0" applyFill="1" applyBorder="1" applyAlignment="1">
      <alignment horizontal="center" vertical="center" wrapText="1"/>
    </xf>
    <xf numFmtId="169" fontId="17" fillId="5" borderId="84" xfId="5" applyNumberFormat="1" applyFont="1" applyFill="1" applyBorder="1" applyAlignment="1">
      <alignment horizontal="right" vertical="center" wrapText="1"/>
    </xf>
    <xf numFmtId="169" fontId="17" fillId="5" borderId="53" xfId="5" applyNumberFormat="1" applyFont="1" applyFill="1" applyBorder="1" applyAlignment="1">
      <alignment horizontal="right" vertical="center" wrapText="1"/>
    </xf>
    <xf numFmtId="169" fontId="17" fillId="5" borderId="41" xfId="5" applyNumberFormat="1" applyFont="1" applyFill="1" applyBorder="1" applyAlignment="1">
      <alignment horizontal="right" vertical="center" wrapText="1"/>
    </xf>
    <xf numFmtId="169" fontId="17" fillId="5" borderId="17" xfId="5" applyNumberFormat="1" applyFont="1" applyFill="1" applyBorder="1" applyAlignment="1">
      <alignment horizontal="right" vertical="center" wrapText="1"/>
    </xf>
    <xf numFmtId="169" fontId="17" fillId="5" borderId="85" xfId="5" applyNumberFormat="1" applyFont="1" applyFill="1" applyBorder="1" applyAlignment="1">
      <alignment horizontal="right" vertical="center" wrapText="1"/>
    </xf>
    <xf numFmtId="169" fontId="17" fillId="5" borderId="56" xfId="5" applyNumberFormat="1" applyFont="1" applyFill="1" applyBorder="1" applyAlignment="1">
      <alignment horizontal="right" vertical="center" wrapText="1"/>
    </xf>
    <xf numFmtId="169" fontId="10" fillId="4" borderId="72" xfId="2" applyNumberFormat="1" applyBorder="1" applyAlignment="1">
      <alignment horizontal="right" vertical="top" wrapText="1"/>
    </xf>
    <xf numFmtId="169" fontId="10" fillId="4" borderId="73" xfId="2" applyNumberFormat="1" applyBorder="1" applyAlignment="1">
      <alignment horizontal="right" vertical="top" wrapText="1"/>
    </xf>
    <xf numFmtId="169" fontId="10" fillId="4" borderId="143" xfId="2" applyNumberFormat="1" applyBorder="1" applyAlignment="1">
      <alignment horizontal="right" vertical="top" wrapText="1"/>
    </xf>
    <xf numFmtId="169" fontId="10" fillId="4" borderId="74" xfId="2" applyNumberFormat="1" applyBorder="1" applyAlignment="1">
      <alignment horizontal="right" vertical="top" wrapText="1"/>
    </xf>
    <xf numFmtId="169" fontId="10" fillId="4" borderId="14" xfId="2" applyNumberFormat="1" applyBorder="1" applyAlignment="1">
      <alignment horizontal="right" vertical="top" wrapText="1"/>
    </xf>
    <xf numFmtId="169" fontId="17" fillId="5" borderId="84" xfId="3" applyNumberFormat="1" applyFont="1" applyBorder="1" applyAlignment="1">
      <alignment horizontal="right" vertical="top" wrapText="1"/>
    </xf>
    <xf numFmtId="169" fontId="17" fillId="5" borderId="53" xfId="3" applyNumberFormat="1" applyFont="1" applyBorder="1" applyAlignment="1">
      <alignment horizontal="right" vertical="top" wrapText="1"/>
    </xf>
    <xf numFmtId="169" fontId="17" fillId="5" borderId="100" xfId="3" applyNumberFormat="1" applyFont="1" applyBorder="1" applyAlignment="1">
      <alignment horizontal="right" vertical="top" wrapText="1"/>
    </xf>
    <xf numFmtId="169" fontId="17" fillId="5" borderId="54" xfId="3" applyNumberFormat="1" applyFont="1" applyBorder="1" applyAlignment="1">
      <alignment horizontal="right" vertical="top" wrapText="1"/>
    </xf>
    <xf numFmtId="169" fontId="10" fillId="4" borderId="24" xfId="2" applyNumberFormat="1" applyBorder="1" applyAlignment="1">
      <alignment horizontal="right" vertical="top" wrapText="1"/>
    </xf>
    <xf numFmtId="169" fontId="17" fillId="5" borderId="41" xfId="3" applyNumberFormat="1" applyFont="1" applyBorder="1" applyAlignment="1">
      <alignment horizontal="right" vertical="top" wrapText="1"/>
    </xf>
    <xf numFmtId="169" fontId="17" fillId="5" borderId="17" xfId="3" applyNumberFormat="1" applyFont="1" applyAlignment="1">
      <alignment horizontal="right" vertical="top" wrapText="1"/>
    </xf>
    <xf numFmtId="169" fontId="17" fillId="5" borderId="144" xfId="3" applyNumberFormat="1" applyFont="1" applyBorder="1" applyAlignment="1">
      <alignment horizontal="right" vertical="top" wrapText="1"/>
    </xf>
    <xf numFmtId="169" fontId="17" fillId="5" borderId="55" xfId="3" applyNumberFormat="1" applyFont="1" applyBorder="1" applyAlignment="1">
      <alignment horizontal="right" vertical="top" wrapText="1"/>
    </xf>
    <xf numFmtId="169" fontId="17" fillId="5" borderId="85" xfId="3" applyNumberFormat="1" applyFont="1" applyBorder="1" applyAlignment="1">
      <alignment horizontal="right" vertical="top" wrapText="1"/>
    </xf>
    <xf numFmtId="169" fontId="17" fillId="5" borderId="56" xfId="3" applyNumberFormat="1" applyFont="1" applyBorder="1" applyAlignment="1">
      <alignment horizontal="right" vertical="top" wrapText="1"/>
    </xf>
    <xf numFmtId="169" fontId="17" fillId="5" borderId="145" xfId="3" applyNumberFormat="1" applyFont="1" applyBorder="1" applyAlignment="1">
      <alignment horizontal="right" vertical="top" wrapText="1"/>
    </xf>
    <xf numFmtId="169" fontId="17" fillId="5" borderId="57" xfId="3" applyNumberFormat="1" applyFont="1" applyBorder="1" applyAlignment="1">
      <alignment horizontal="right" vertical="top" wrapText="1"/>
    </xf>
    <xf numFmtId="169" fontId="10" fillId="4" borderId="15" xfId="2" applyNumberFormat="1" applyBorder="1" applyAlignment="1">
      <alignment horizontal="right" vertical="top" wrapText="1"/>
    </xf>
    <xf numFmtId="169" fontId="10" fillId="4" borderId="16" xfId="2" applyNumberFormat="1" applyAlignment="1">
      <alignment vertical="top" wrapText="1"/>
    </xf>
    <xf numFmtId="169" fontId="10" fillId="4" borderId="146" xfId="2" applyNumberFormat="1" applyBorder="1" applyAlignment="1">
      <alignment vertical="top" wrapText="1"/>
    </xf>
    <xf numFmtId="169" fontId="10" fillId="4" borderId="37" xfId="2" applyNumberFormat="1" applyBorder="1" applyAlignment="1">
      <alignment vertical="top" wrapText="1"/>
    </xf>
    <xf numFmtId="169" fontId="10" fillId="4" borderId="14" xfId="2" applyNumberFormat="1" applyBorder="1" applyAlignment="1">
      <alignment vertical="top" wrapText="1"/>
    </xf>
    <xf numFmtId="169" fontId="17" fillId="5" borderId="84" xfId="3" applyNumberFormat="1" applyFont="1" applyBorder="1" applyAlignment="1">
      <alignment vertical="top" wrapText="1"/>
    </xf>
    <xf numFmtId="169" fontId="17" fillId="5" borderId="53" xfId="3" applyNumberFormat="1" applyFont="1" applyBorder="1" applyAlignment="1">
      <alignment vertical="top" wrapText="1"/>
    </xf>
    <xf numFmtId="169" fontId="17" fillId="5" borderId="100" xfId="3" applyNumberFormat="1" applyFont="1" applyBorder="1" applyAlignment="1">
      <alignment vertical="top" wrapText="1"/>
    </xf>
    <xf numFmtId="169" fontId="17" fillId="5" borderId="54" xfId="3" applyNumberFormat="1" applyFont="1" applyBorder="1" applyAlignment="1">
      <alignment vertical="top" wrapText="1"/>
    </xf>
    <xf numFmtId="169" fontId="10" fillId="4" borderId="24" xfId="2" applyNumberFormat="1" applyBorder="1" applyAlignment="1">
      <alignment vertical="top" wrapText="1"/>
    </xf>
    <xf numFmtId="169" fontId="17" fillId="5" borderId="41" xfId="3" applyNumberFormat="1" applyFont="1" applyBorder="1" applyAlignment="1">
      <alignment vertical="top" wrapText="1"/>
    </xf>
    <xf numFmtId="169" fontId="17" fillId="5" borderId="17" xfId="3" applyNumberFormat="1" applyFont="1" applyAlignment="1">
      <alignment vertical="top" wrapText="1"/>
    </xf>
    <xf numFmtId="169" fontId="17" fillId="5" borderId="144" xfId="3" applyNumberFormat="1" applyFont="1" applyBorder="1" applyAlignment="1">
      <alignment vertical="top" wrapText="1"/>
    </xf>
    <xf numFmtId="169" fontId="17" fillId="5" borderId="55" xfId="3" applyNumberFormat="1" applyFont="1" applyBorder="1" applyAlignment="1">
      <alignment vertical="top" wrapText="1"/>
    </xf>
    <xf numFmtId="169" fontId="10" fillId="4" borderId="15" xfId="2" applyNumberFormat="1" applyBorder="1" applyAlignment="1">
      <alignment vertical="top" wrapText="1"/>
    </xf>
    <xf numFmtId="169" fontId="17" fillId="5" borderId="85" xfId="3" applyNumberFormat="1" applyFont="1" applyBorder="1" applyAlignment="1">
      <alignment vertical="top" wrapText="1"/>
    </xf>
    <xf numFmtId="169" fontId="17" fillId="5" borderId="56" xfId="3" applyNumberFormat="1" applyFont="1" applyBorder="1" applyAlignment="1">
      <alignment vertical="top" wrapText="1"/>
    </xf>
    <xf numFmtId="169" fontId="17" fillId="5" borderId="145" xfId="3" applyNumberFormat="1" applyFont="1" applyBorder="1" applyAlignment="1">
      <alignment vertical="top" wrapText="1"/>
    </xf>
    <xf numFmtId="169" fontId="17" fillId="5" borderId="57" xfId="3" applyNumberFormat="1" applyFont="1" applyBorder="1" applyAlignment="1">
      <alignment vertical="top" wrapText="1"/>
    </xf>
    <xf numFmtId="169" fontId="10" fillId="4" borderId="95" xfId="2" applyNumberFormat="1" applyBorder="1" applyAlignment="1">
      <alignment horizontal="right" vertical="top" wrapText="1"/>
    </xf>
    <xf numFmtId="169" fontId="10" fillId="4" borderId="52" xfId="2" applyNumberFormat="1" applyBorder="1" applyAlignment="1">
      <alignment horizontal="right" vertical="top" wrapText="1"/>
    </xf>
    <xf numFmtId="169" fontId="10" fillId="4" borderId="106" xfId="2" applyNumberFormat="1" applyBorder="1" applyAlignment="1">
      <alignment horizontal="right" vertical="top" wrapText="1"/>
    </xf>
    <xf numFmtId="169" fontId="10" fillId="4" borderId="42" xfId="2" applyNumberFormat="1" applyBorder="1" applyAlignment="1">
      <alignment horizontal="right" vertical="top" wrapText="1"/>
    </xf>
    <xf numFmtId="169" fontId="10" fillId="4" borderId="47" xfId="2" applyNumberFormat="1" applyBorder="1" applyAlignment="1">
      <alignment vertical="top" wrapText="1"/>
    </xf>
    <xf numFmtId="169" fontId="10" fillId="4" borderId="44" xfId="2" applyNumberFormat="1" applyBorder="1" applyAlignment="1">
      <alignment vertical="top" wrapText="1"/>
    </xf>
    <xf numFmtId="169" fontId="10" fillId="4" borderId="108" xfId="2" applyNumberFormat="1" applyBorder="1" applyAlignment="1">
      <alignment vertical="top" wrapText="1"/>
    </xf>
    <xf numFmtId="169" fontId="10" fillId="4" borderId="45" xfId="2" applyNumberFormat="1" applyBorder="1" applyAlignment="1">
      <alignment vertical="top" wrapText="1"/>
    </xf>
    <xf numFmtId="168" fontId="17" fillId="5" borderId="41" xfId="3" applyNumberFormat="1" applyFont="1" applyBorder="1" applyAlignment="1" applyProtection="1">
      <alignment horizontal="right" vertical="top" wrapText="1"/>
      <protection locked="0"/>
    </xf>
    <xf numFmtId="168" fontId="17" fillId="5" borderId="17" xfId="3" applyNumberFormat="1" applyFont="1" applyAlignment="1" applyProtection="1">
      <alignment horizontal="right" vertical="top" wrapText="1"/>
      <protection locked="0"/>
    </xf>
    <xf numFmtId="168" fontId="17" fillId="5" borderId="104" xfId="3" applyNumberFormat="1" applyFont="1" applyBorder="1" applyAlignment="1" applyProtection="1">
      <alignment horizontal="right" vertical="top" wrapText="1"/>
      <protection locked="0"/>
    </xf>
    <xf numFmtId="168" fontId="17" fillId="5" borderId="101" xfId="3" applyNumberFormat="1" applyFont="1" applyBorder="1" applyAlignment="1" applyProtection="1">
      <alignment horizontal="right" vertical="top" wrapText="1"/>
      <protection locked="0"/>
    </xf>
    <xf numFmtId="0" fontId="0" fillId="17" borderId="38" xfId="0" applyFill="1" applyBorder="1" applyAlignment="1">
      <alignment horizontal="center" wrapText="1"/>
    </xf>
    <xf numFmtId="0" fontId="12" fillId="7" borderId="6" xfId="0" applyFont="1" applyFill="1" applyBorder="1" applyAlignment="1">
      <alignment horizontal="center" vertical="top" wrapText="1"/>
    </xf>
    <xf numFmtId="169" fontId="77" fillId="0" borderId="0" xfId="0" applyNumberFormat="1" applyFont="1"/>
    <xf numFmtId="169" fontId="82" fillId="0" borderId="0" xfId="0" applyNumberFormat="1" applyFont="1"/>
    <xf numFmtId="3" fontId="57" fillId="20" borderId="53" xfId="5" applyNumberFormat="1" applyFont="1" applyFill="1" applyBorder="1" applyAlignment="1">
      <alignment horizontal="center" vertical="center" wrapText="1"/>
    </xf>
    <xf numFmtId="3" fontId="57" fillId="20" borderId="17" xfId="5" applyNumberFormat="1" applyFont="1" applyFill="1" applyBorder="1" applyAlignment="1">
      <alignment horizontal="center" vertical="center" wrapText="1"/>
    </xf>
    <xf numFmtId="3" fontId="57" fillId="20" borderId="56" xfId="5" applyNumberFormat="1" applyFont="1" applyFill="1" applyBorder="1" applyAlignment="1">
      <alignment horizontal="center" vertical="center" wrapText="1"/>
    </xf>
    <xf numFmtId="8" fontId="57" fillId="20" borderId="167" xfId="7" applyNumberFormat="1" applyFont="1" applyFill="1" applyBorder="1" applyAlignment="1">
      <alignment horizontal="center" vertical="center" wrapText="1"/>
    </xf>
    <xf numFmtId="0" fontId="40" fillId="17" borderId="135" xfId="0" applyFont="1" applyFill="1" applyBorder="1" applyAlignment="1">
      <alignment horizontal="left" vertical="center" wrapText="1"/>
    </xf>
    <xf numFmtId="8" fontId="0" fillId="0" borderId="0" xfId="0" applyNumberFormat="1"/>
    <xf numFmtId="0" fontId="40" fillId="17" borderId="134" xfId="0" applyFont="1" applyFill="1" applyBorder="1" applyAlignment="1">
      <alignment horizontal="left" vertical="center"/>
    </xf>
    <xf numFmtId="0" fontId="40" fillId="17" borderId="134" xfId="0" applyFont="1" applyFill="1" applyBorder="1" applyAlignment="1">
      <alignment horizontal="center" vertical="center"/>
    </xf>
    <xf numFmtId="44" fontId="40" fillId="17" borderId="134" xfId="7" applyFont="1" applyFill="1" applyBorder="1" applyAlignment="1">
      <alignment horizontal="center" vertical="center"/>
    </xf>
    <xf numFmtId="44" fontId="57" fillId="20" borderId="178" xfId="7" applyFont="1" applyFill="1" applyBorder="1" applyAlignment="1">
      <alignment horizontal="center" vertical="center" wrapText="1"/>
    </xf>
    <xf numFmtId="44" fontId="40" fillId="17" borderId="179" xfId="7" applyFont="1" applyFill="1" applyBorder="1" applyAlignment="1">
      <alignment horizontal="left" vertical="center"/>
    </xf>
    <xf numFmtId="171" fontId="56" fillId="0" borderId="0" xfId="0" applyNumberFormat="1" applyFont="1"/>
    <xf numFmtId="0" fontId="75" fillId="0" borderId="5" xfId="0" applyFont="1" applyBorder="1" applyAlignment="1">
      <alignment horizontal="center" vertical="center"/>
    </xf>
    <xf numFmtId="169" fontId="76" fillId="22" borderId="24" xfId="0" applyNumberFormat="1" applyFont="1" applyFill="1" applyBorder="1" applyAlignment="1">
      <alignment horizontal="right" vertical="center"/>
    </xf>
    <xf numFmtId="169" fontId="76" fillId="22" borderId="6" xfId="0" applyNumberFormat="1" applyFont="1" applyFill="1" applyBorder="1" applyAlignment="1">
      <alignment horizontal="right" vertical="center"/>
    </xf>
    <xf numFmtId="169" fontId="80" fillId="14" borderId="28" xfId="0" applyNumberFormat="1" applyFont="1" applyFill="1" applyBorder="1" applyAlignment="1">
      <alignment horizontal="right" vertical="center"/>
    </xf>
    <xf numFmtId="169" fontId="80" fillId="14" borderId="30" xfId="0" applyNumberFormat="1" applyFont="1" applyFill="1" applyBorder="1" applyAlignment="1">
      <alignment horizontal="right" vertical="center"/>
    </xf>
    <xf numFmtId="172" fontId="70" fillId="17" borderId="130" xfId="0" applyNumberFormat="1" applyFont="1" applyFill="1" applyBorder="1" applyAlignment="1">
      <alignment horizontal="right" vertical="center"/>
    </xf>
    <xf numFmtId="172" fontId="70" fillId="0" borderId="130" xfId="0" applyNumberFormat="1" applyFont="1" applyBorder="1" applyAlignment="1">
      <alignment horizontal="right" vertical="center"/>
    </xf>
    <xf numFmtId="169" fontId="70" fillId="0" borderId="0" xfId="0" applyNumberFormat="1" applyFont="1" applyAlignment="1">
      <alignment horizontal="left"/>
    </xf>
    <xf numFmtId="172" fontId="83" fillId="17" borderId="130" xfId="0" applyNumberFormat="1" applyFont="1" applyFill="1" applyBorder="1" applyAlignment="1">
      <alignment horizontal="right" vertical="center"/>
    </xf>
    <xf numFmtId="169" fontId="83" fillId="17" borderId="164" xfId="0" applyNumberFormat="1" applyFont="1" applyFill="1" applyBorder="1" applyAlignment="1">
      <alignment horizontal="center" vertical="center"/>
    </xf>
    <xf numFmtId="172" fontId="83" fillId="0" borderId="130" xfId="0" applyNumberFormat="1" applyFont="1" applyBorder="1" applyAlignment="1">
      <alignment horizontal="right" vertical="center"/>
    </xf>
    <xf numFmtId="169" fontId="83" fillId="0" borderId="164" xfId="0" applyNumberFormat="1" applyFont="1" applyBorder="1" applyAlignment="1">
      <alignment horizontal="center" vertical="center"/>
    </xf>
    <xf numFmtId="165" fontId="0" fillId="0" borderId="0" xfId="0" applyNumberFormat="1"/>
    <xf numFmtId="0" fontId="38" fillId="12" borderId="80" xfId="0" applyFont="1" applyFill="1" applyBorder="1" applyAlignment="1">
      <alignment horizontal="center" vertical="center" wrapText="1"/>
    </xf>
    <xf numFmtId="0" fontId="38" fillId="12" borderId="9" xfId="0" applyFont="1" applyFill="1" applyBorder="1" applyAlignment="1">
      <alignment horizontal="center" vertical="center" wrapText="1"/>
    </xf>
    <xf numFmtId="0" fontId="39" fillId="17" borderId="135" xfId="0" applyFont="1" applyFill="1" applyBorder="1" applyAlignment="1">
      <alignment vertical="center" wrapText="1"/>
    </xf>
    <xf numFmtId="0" fontId="43" fillId="17" borderId="180" xfId="0" applyFont="1" applyFill="1" applyBorder="1" applyAlignment="1">
      <alignment horizontal="center" vertical="center"/>
    </xf>
    <xf numFmtId="0" fontId="43" fillId="17" borderId="181" xfId="0" applyFont="1" applyFill="1" applyBorder="1" applyAlignment="1">
      <alignment horizontal="center" vertical="center"/>
    </xf>
    <xf numFmtId="0" fontId="43" fillId="17" borderId="182" xfId="0" applyFont="1" applyFill="1" applyBorder="1" applyAlignment="1">
      <alignment horizontal="center" vertical="center"/>
    </xf>
    <xf numFmtId="0" fontId="37" fillId="17" borderId="183" xfId="3" applyFont="1" applyFill="1" applyBorder="1" applyAlignment="1">
      <alignment horizontal="center"/>
    </xf>
    <xf numFmtId="0" fontId="39" fillId="17" borderId="185" xfId="0" applyFont="1" applyFill="1" applyBorder="1" applyAlignment="1">
      <alignment vertical="center"/>
    </xf>
    <xf numFmtId="0" fontId="39" fillId="17" borderId="185" xfId="0" applyFont="1" applyFill="1" applyBorder="1" applyAlignment="1">
      <alignment vertical="center" wrapText="1"/>
    </xf>
    <xf numFmtId="0" fontId="43" fillId="17" borderId="24" xfId="0" applyFont="1" applyFill="1" applyBorder="1" applyAlignment="1">
      <alignment horizontal="center" vertical="center"/>
    </xf>
    <xf numFmtId="0" fontId="43" fillId="17" borderId="0" xfId="0" applyFont="1" applyFill="1" applyAlignment="1">
      <alignment horizontal="center" vertical="center"/>
    </xf>
    <xf numFmtId="0" fontId="43" fillId="17" borderId="6" xfId="0" applyFont="1" applyFill="1" applyBorder="1" applyAlignment="1">
      <alignment horizontal="center" vertical="center"/>
    </xf>
    <xf numFmtId="0" fontId="43" fillId="17" borderId="186" xfId="0" applyFont="1" applyFill="1" applyBorder="1" applyAlignment="1">
      <alignment horizontal="center" vertical="center"/>
    </xf>
    <xf numFmtId="0" fontId="43" fillId="17" borderId="187" xfId="0" applyFont="1" applyFill="1" applyBorder="1" applyAlignment="1">
      <alignment horizontal="center" vertical="center"/>
    </xf>
    <xf numFmtId="0" fontId="43" fillId="17" borderId="188" xfId="0" applyFont="1" applyFill="1" applyBorder="1" applyAlignment="1">
      <alignment horizontal="center" vertical="center"/>
    </xf>
    <xf numFmtId="0" fontId="37" fillId="17" borderId="189" xfId="0" applyFont="1" applyFill="1" applyBorder="1" applyAlignment="1">
      <alignment horizontal="center" vertical="center"/>
    </xf>
    <xf numFmtId="0" fontId="37" fillId="17" borderId="190" xfId="0" applyFont="1" applyFill="1" applyBorder="1" applyAlignment="1">
      <alignment horizontal="center" vertical="center"/>
    </xf>
    <xf numFmtId="0" fontId="37" fillId="17" borderId="8" xfId="3" applyFont="1" applyFill="1" applyBorder="1" applyAlignment="1">
      <alignment horizontal="center"/>
    </xf>
    <xf numFmtId="0" fontId="39" fillId="17" borderId="184" xfId="0" applyFont="1" applyFill="1" applyBorder="1" applyAlignment="1">
      <alignment vertical="center"/>
    </xf>
    <xf numFmtId="0" fontId="39" fillId="17" borderId="184" xfId="0" applyFont="1" applyFill="1" applyBorder="1" applyAlignment="1">
      <alignment vertical="center" wrapText="1"/>
    </xf>
    <xf numFmtId="0" fontId="43" fillId="17" borderId="191" xfId="0" applyFont="1" applyFill="1" applyBorder="1" applyAlignment="1">
      <alignment horizontal="center" vertical="center"/>
    </xf>
    <xf numFmtId="0" fontId="43" fillId="17" borderId="192" xfId="0" applyFont="1" applyFill="1" applyBorder="1" applyAlignment="1">
      <alignment horizontal="center" vertical="center"/>
    </xf>
    <xf numFmtId="0" fontId="43" fillId="17" borderId="193" xfId="0" applyFont="1" applyFill="1" applyBorder="1" applyAlignment="1">
      <alignment horizontal="center" vertical="center"/>
    </xf>
    <xf numFmtId="0" fontId="37" fillId="17" borderId="194" xfId="0" applyFont="1" applyFill="1" applyBorder="1" applyAlignment="1">
      <alignment horizontal="center" vertical="center"/>
    </xf>
    <xf numFmtId="0" fontId="37" fillId="17" borderId="195" xfId="0" applyFont="1" applyFill="1" applyBorder="1" applyAlignment="1">
      <alignment horizontal="center" vertical="center"/>
    </xf>
    <xf numFmtId="0" fontId="37" fillId="17" borderId="80" xfId="3" applyFont="1" applyFill="1" applyBorder="1" applyAlignment="1">
      <alignment horizontal="center"/>
    </xf>
    <xf numFmtId="0" fontId="39" fillId="17" borderId="166" xfId="0" applyFont="1" applyFill="1" applyBorder="1" applyAlignment="1">
      <alignment vertical="center"/>
    </xf>
    <xf numFmtId="0" fontId="39" fillId="17" borderId="166" xfId="0" applyFont="1" applyFill="1" applyBorder="1" applyAlignment="1">
      <alignment vertical="center" wrapText="1"/>
    </xf>
    <xf numFmtId="0" fontId="37" fillId="17" borderId="196" xfId="0" applyFont="1" applyFill="1" applyBorder="1" applyAlignment="1">
      <alignment horizontal="center" vertical="center"/>
    </xf>
    <xf numFmtId="0" fontId="37" fillId="17" borderId="197" xfId="0" applyFont="1" applyFill="1" applyBorder="1" applyAlignment="1">
      <alignment horizontal="center" vertical="center"/>
    </xf>
    <xf numFmtId="0" fontId="39" fillId="17" borderId="134" xfId="0" applyFont="1" applyFill="1" applyBorder="1" applyAlignment="1">
      <alignment vertical="center" wrapText="1"/>
    </xf>
    <xf numFmtId="0" fontId="43" fillId="17" borderId="198" xfId="0" applyFont="1" applyFill="1" applyBorder="1" applyAlignment="1">
      <alignment horizontal="center" vertical="center"/>
    </xf>
    <xf numFmtId="0" fontId="43" fillId="17" borderId="199" xfId="0" applyFont="1" applyFill="1" applyBorder="1" applyAlignment="1">
      <alignment horizontal="center" vertical="center"/>
    </xf>
    <xf numFmtId="0" fontId="43" fillId="17" borderId="200" xfId="0" applyFont="1" applyFill="1" applyBorder="1" applyAlignment="1">
      <alignment horizontal="center" vertical="center"/>
    </xf>
    <xf numFmtId="0" fontId="43" fillId="17" borderId="201" xfId="0" applyFont="1" applyFill="1" applyBorder="1" applyAlignment="1">
      <alignment horizontal="center" vertical="center"/>
    </xf>
    <xf numFmtId="0" fontId="43" fillId="17" borderId="202" xfId="0" applyFont="1" applyFill="1" applyBorder="1" applyAlignment="1">
      <alignment horizontal="center" vertical="center"/>
    </xf>
    <xf numFmtId="0" fontId="43" fillId="17" borderId="203" xfId="0" applyFont="1" applyFill="1" applyBorder="1" applyAlignment="1">
      <alignment horizontal="center" vertical="center"/>
    </xf>
    <xf numFmtId="0" fontId="37" fillId="17" borderId="204" xfId="3" applyFont="1" applyFill="1" applyBorder="1" applyAlignment="1">
      <alignment horizontal="center"/>
    </xf>
    <xf numFmtId="169" fontId="0" fillId="0" borderId="0" xfId="0" applyNumberFormat="1"/>
    <xf numFmtId="169" fontId="0" fillId="0" borderId="22" xfId="0" applyNumberFormat="1" applyBorder="1"/>
    <xf numFmtId="0" fontId="0" fillId="0" borderId="22" xfId="0" applyBorder="1"/>
    <xf numFmtId="169" fontId="11" fillId="0" borderId="22" xfId="0" applyNumberFormat="1" applyFont="1" applyBorder="1"/>
    <xf numFmtId="0" fontId="0" fillId="0" borderId="22" xfId="0" applyBorder="1" applyAlignment="1">
      <alignment horizontal="center"/>
    </xf>
    <xf numFmtId="169" fontId="11" fillId="0" borderId="22" xfId="0" applyNumberFormat="1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0" fillId="0" borderId="86" xfId="0" applyBorder="1"/>
    <xf numFmtId="169" fontId="0" fillId="0" borderId="86" xfId="0" applyNumberFormat="1" applyBorder="1"/>
    <xf numFmtId="0" fontId="0" fillId="0" borderId="86" xfId="0" applyBorder="1" applyAlignment="1">
      <alignment horizontal="center"/>
    </xf>
    <xf numFmtId="0" fontId="0" fillId="0" borderId="126" xfId="0" applyBorder="1"/>
    <xf numFmtId="169" fontId="0" fillId="0" borderId="126" xfId="0" applyNumberFormat="1" applyBorder="1"/>
    <xf numFmtId="0" fontId="0" fillId="0" borderId="126" xfId="0" applyBorder="1" applyAlignment="1">
      <alignment horizontal="center"/>
    </xf>
    <xf numFmtId="0" fontId="0" fillId="0" borderId="114" xfId="0" applyBorder="1"/>
    <xf numFmtId="169" fontId="0" fillId="0" borderId="114" xfId="0" applyNumberFormat="1" applyBorder="1"/>
    <xf numFmtId="0" fontId="0" fillId="0" borderId="114" xfId="0" applyBorder="1" applyAlignment="1">
      <alignment horizontal="center"/>
    </xf>
    <xf numFmtId="0" fontId="0" fillId="0" borderId="116" xfId="0" applyBorder="1"/>
    <xf numFmtId="169" fontId="0" fillId="0" borderId="122" xfId="0" applyNumberFormat="1" applyBorder="1"/>
    <xf numFmtId="0" fontId="0" fillId="0" borderId="18" xfId="0" applyBorder="1" applyAlignment="1">
      <alignment horizontal="center"/>
    </xf>
    <xf numFmtId="0" fontId="11" fillId="0" borderId="22" xfId="0" applyFont="1" applyBorder="1" applyAlignment="1">
      <alignment horizontal="right" wrapText="1"/>
    </xf>
    <xf numFmtId="169" fontId="0" fillId="0" borderId="22" xfId="0" applyNumberFormat="1" applyBorder="1" applyAlignment="1">
      <alignment horizontal="right" wrapText="1"/>
    </xf>
    <xf numFmtId="0" fontId="0" fillId="0" borderId="0" xfId="0" applyAlignment="1">
      <alignment horizontal="center" vertical="center" wrapText="1"/>
    </xf>
    <xf numFmtId="0" fontId="71" fillId="0" borderId="0" xfId="0" applyFont="1" applyAlignment="1">
      <alignment horizontal="right"/>
    </xf>
    <xf numFmtId="0" fontId="36" fillId="9" borderId="69" xfId="0" applyFont="1" applyFill="1" applyBorder="1" applyAlignment="1">
      <alignment horizontal="left" vertical="center" wrapText="1"/>
    </xf>
    <xf numFmtId="0" fontId="35" fillId="0" borderId="149" xfId="0" applyFont="1" applyBorder="1" applyAlignment="1">
      <alignment horizontal="center" vertical="center" wrapText="1"/>
    </xf>
    <xf numFmtId="0" fontId="35" fillId="0" borderId="150" xfId="0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17" borderId="147" xfId="0" applyFill="1" applyBorder="1" applyAlignment="1">
      <alignment horizontal="left" vertical="center" wrapText="1"/>
    </xf>
    <xf numFmtId="4" fontId="0" fillId="17" borderId="124" xfId="0" applyNumberFormat="1" applyFill="1" applyBorder="1" applyAlignment="1">
      <alignment horizontal="right" vertical="center" indent="2"/>
    </xf>
    <xf numFmtId="4" fontId="0" fillId="17" borderId="113" xfId="0" applyNumberFormat="1" applyFill="1" applyBorder="1" applyAlignment="1">
      <alignment horizontal="right" vertical="center" indent="2"/>
    </xf>
    <xf numFmtId="4" fontId="0" fillId="17" borderId="22" xfId="0" applyNumberFormat="1" applyFill="1" applyBorder="1" applyAlignment="1">
      <alignment horizontal="right" vertical="center" indent="2"/>
    </xf>
    <xf numFmtId="4" fontId="0" fillId="17" borderId="34" xfId="0" applyNumberFormat="1" applyFill="1" applyBorder="1" applyAlignment="1">
      <alignment horizontal="right" vertical="center" indent="2"/>
    </xf>
    <xf numFmtId="0" fontId="11" fillId="0" borderId="8" xfId="0" applyFont="1" applyBorder="1" applyAlignment="1">
      <alignment horizontal="center" vertical="center" wrapText="1"/>
    </xf>
    <xf numFmtId="0" fontId="0" fillId="17" borderId="8" xfId="0" applyFill="1" applyBorder="1" applyAlignment="1">
      <alignment vertical="center" wrapText="1"/>
    </xf>
    <xf numFmtId="0" fontId="11" fillId="0" borderId="154" xfId="0" applyFont="1" applyBorder="1" applyAlignment="1">
      <alignment horizontal="center" vertical="center" wrapText="1"/>
    </xf>
    <xf numFmtId="0" fontId="11" fillId="17" borderId="147" xfId="0" applyFont="1" applyFill="1" applyBorder="1" applyAlignment="1">
      <alignment horizontal="left" vertical="center" wrapText="1"/>
    </xf>
    <xf numFmtId="0" fontId="50" fillId="0" borderId="0" xfId="0" applyFont="1" applyAlignment="1">
      <alignment horizontal="center"/>
    </xf>
    <xf numFmtId="0" fontId="35" fillId="0" borderId="31" xfId="0" applyFont="1" applyBorder="1" applyAlignment="1">
      <alignment horizontal="center" vertical="center" wrapText="1"/>
    </xf>
    <xf numFmtId="4" fontId="0" fillId="17" borderId="60" xfId="0" applyNumberFormat="1" applyFill="1" applyBorder="1" applyAlignment="1">
      <alignment horizontal="right" vertical="center" indent="2"/>
    </xf>
    <xf numFmtId="4" fontId="0" fillId="17" borderId="115" xfId="0" applyNumberFormat="1" applyFill="1" applyBorder="1" applyAlignment="1">
      <alignment horizontal="right" vertical="center" indent="2"/>
    </xf>
    <xf numFmtId="3" fontId="0" fillId="17" borderId="60" xfId="0" applyNumberFormat="1" applyFill="1" applyBorder="1" applyAlignment="1">
      <alignment horizontal="right" vertical="center" indent="2"/>
    </xf>
    <xf numFmtId="3" fontId="0" fillId="17" borderId="22" xfId="0" applyNumberFormat="1" applyFill="1" applyBorder="1" applyAlignment="1">
      <alignment horizontal="right" vertical="center" indent="2"/>
    </xf>
    <xf numFmtId="4" fontId="0" fillId="17" borderId="119" xfId="0" applyNumberFormat="1" applyFill="1" applyBorder="1" applyAlignment="1">
      <alignment horizontal="right" vertical="center" indent="2"/>
    </xf>
    <xf numFmtId="0" fontId="11" fillId="0" borderId="80" xfId="0" applyFont="1" applyBorder="1" applyAlignment="1">
      <alignment horizontal="center" vertical="center" wrapText="1"/>
    </xf>
    <xf numFmtId="0" fontId="0" fillId="17" borderId="147" xfId="0" applyFill="1" applyBorder="1"/>
    <xf numFmtId="0" fontId="0" fillId="0" borderId="154" xfId="0" applyBorder="1" applyAlignment="1">
      <alignment horizontal="center" vertical="center" wrapText="1"/>
    </xf>
    <xf numFmtId="4" fontId="0" fillId="17" borderId="86" xfId="0" applyNumberFormat="1" applyFill="1" applyBorder="1" applyAlignment="1">
      <alignment horizontal="right" vertical="center" indent="2"/>
    </xf>
    <xf numFmtId="3" fontId="0" fillId="17" borderId="86" xfId="0" applyNumberFormat="1" applyFill="1" applyBorder="1" applyAlignment="1">
      <alignment horizontal="right" vertical="center" indent="2"/>
    </xf>
    <xf numFmtId="0" fontId="0" fillId="17" borderId="154" xfId="0" applyFill="1" applyBorder="1" applyAlignment="1">
      <alignment horizontal="left" vertical="center" wrapText="1"/>
    </xf>
    <xf numFmtId="0" fontId="0" fillId="17" borderId="154" xfId="0" applyFill="1" applyBorder="1"/>
    <xf numFmtId="0" fontId="0" fillId="17" borderId="206" xfId="0" applyFill="1" applyBorder="1" applyAlignment="1">
      <alignment horizontal="center"/>
    </xf>
    <xf numFmtId="0" fontId="0" fillId="17" borderId="86" xfId="0" applyFill="1" applyBorder="1" applyAlignment="1">
      <alignment horizontal="center"/>
    </xf>
    <xf numFmtId="0" fontId="50" fillId="0" borderId="9" xfId="0" applyFont="1" applyBorder="1" applyAlignment="1">
      <alignment horizontal="center" vertical="center" wrapText="1"/>
    </xf>
    <xf numFmtId="0" fontId="29" fillId="0" borderId="31" xfId="0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10" fontId="0" fillId="0" borderId="0" xfId="0" applyNumberFormat="1" applyAlignment="1">
      <alignment horizontal="right"/>
    </xf>
    <xf numFmtId="9" fontId="0" fillId="0" borderId="0" xfId="0" applyNumberFormat="1"/>
    <xf numFmtId="0" fontId="0" fillId="0" borderId="0" xfId="0" applyAlignment="1">
      <alignment horizontal="center" wrapText="1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wrapText="1"/>
    </xf>
    <xf numFmtId="0" fontId="11" fillId="17" borderId="80" xfId="0" applyFont="1" applyFill="1" applyBorder="1" applyAlignment="1">
      <alignment vertical="center" wrapText="1"/>
    </xf>
    <xf numFmtId="0" fontId="11" fillId="17" borderId="89" xfId="0" applyFont="1" applyFill="1" applyBorder="1" applyAlignment="1">
      <alignment horizontal="left" vertical="center" wrapText="1"/>
    </xf>
    <xf numFmtId="0" fontId="84" fillId="0" borderId="0" xfId="0" applyFont="1"/>
    <xf numFmtId="9" fontId="0" fillId="17" borderId="124" xfId="4" applyFont="1" applyFill="1" applyBorder="1" applyAlignment="1">
      <alignment horizontal="right" vertical="center" indent="2"/>
    </xf>
    <xf numFmtId="0" fontId="35" fillId="0" borderId="75" xfId="0" applyFont="1" applyBorder="1" applyAlignment="1">
      <alignment horizontal="center" vertical="center" wrapText="1"/>
    </xf>
    <xf numFmtId="3" fontId="0" fillId="17" borderId="61" xfId="0" applyNumberFormat="1" applyFill="1" applyBorder="1" applyAlignment="1">
      <alignment horizontal="right" vertical="center" indent="2"/>
    </xf>
    <xf numFmtId="3" fontId="0" fillId="17" borderId="38" xfId="0" applyNumberFormat="1" applyFill="1" applyBorder="1" applyAlignment="1">
      <alignment horizontal="right" vertical="center" indent="2"/>
    </xf>
    <xf numFmtId="3" fontId="0" fillId="17" borderId="207" xfId="0" applyNumberFormat="1" applyFill="1" applyBorder="1" applyAlignment="1">
      <alignment horizontal="right" vertical="center" indent="2"/>
    </xf>
    <xf numFmtId="3" fontId="0" fillId="17" borderId="39" xfId="0" applyNumberFormat="1" applyFill="1" applyBorder="1" applyAlignment="1">
      <alignment horizontal="right" vertical="center" indent="2"/>
    </xf>
    <xf numFmtId="0" fontId="0" fillId="0" borderId="0" xfId="0" applyAlignment="1">
      <alignment horizontal="right" indent="2"/>
    </xf>
    <xf numFmtId="169" fontId="0" fillId="0" borderId="0" xfId="0" applyNumberFormat="1" applyAlignment="1">
      <alignment horizontal="center"/>
    </xf>
    <xf numFmtId="0" fontId="11" fillId="0" borderId="0" xfId="0" applyFont="1" applyAlignment="1">
      <alignment horizontal="center"/>
    </xf>
    <xf numFmtId="0" fontId="85" fillId="0" borderId="0" xfId="0" applyFont="1"/>
    <xf numFmtId="0" fontId="85" fillId="0" borderId="0" xfId="0" applyFont="1" applyAlignment="1">
      <alignment horizontal="right"/>
    </xf>
    <xf numFmtId="9" fontId="85" fillId="0" borderId="22" xfId="0" applyNumberFormat="1" applyFont="1" applyBorder="1"/>
    <xf numFmtId="10" fontId="85" fillId="0" borderId="0" xfId="4" applyNumberFormat="1" applyFont="1" applyAlignment="1">
      <alignment horizontal="left" vertical="top" wrapText="1"/>
    </xf>
    <xf numFmtId="9" fontId="85" fillId="0" borderId="22" xfId="4" applyFont="1" applyBorder="1" applyAlignment="1">
      <alignment horizontal="right" indent="2"/>
    </xf>
    <xf numFmtId="4" fontId="0" fillId="17" borderId="20" xfId="0" applyNumberFormat="1" applyFill="1" applyBorder="1" applyAlignment="1">
      <alignment horizontal="right" vertical="center" indent="2"/>
    </xf>
    <xf numFmtId="3" fontId="0" fillId="17" borderId="40" xfId="0" applyNumberFormat="1" applyFill="1" applyBorder="1" applyAlignment="1">
      <alignment horizontal="right" vertical="center" indent="2"/>
    </xf>
    <xf numFmtId="0" fontId="29" fillId="0" borderId="149" xfId="0" applyFont="1" applyBorder="1" applyAlignment="1">
      <alignment horizontal="center" vertical="center" wrapText="1"/>
    </xf>
    <xf numFmtId="0" fontId="35" fillId="0" borderId="151" xfId="0" applyFont="1" applyBorder="1" applyAlignment="1">
      <alignment vertical="center" wrapText="1"/>
    </xf>
    <xf numFmtId="4" fontId="0" fillId="17" borderId="60" xfId="0" applyNumberFormat="1" applyFill="1" applyBorder="1" applyAlignment="1">
      <alignment horizontal="center" vertical="center"/>
    </xf>
    <xf numFmtId="0" fontId="0" fillId="17" borderId="126" xfId="0" applyFill="1" applyBorder="1" applyAlignment="1">
      <alignment horizontal="center"/>
    </xf>
    <xf numFmtId="9" fontId="50" fillId="17" borderId="32" xfId="0" applyNumberFormat="1" applyFont="1" applyFill="1" applyBorder="1" applyAlignment="1">
      <alignment horizontal="center"/>
    </xf>
    <xf numFmtId="0" fontId="50" fillId="17" borderId="32" xfId="0" applyFont="1" applyFill="1" applyBorder="1" applyAlignment="1">
      <alignment horizontal="center"/>
    </xf>
    <xf numFmtId="0" fontId="50" fillId="17" borderId="208" xfId="0" applyFont="1" applyFill="1" applyBorder="1" applyAlignment="1">
      <alignment horizontal="center"/>
    </xf>
    <xf numFmtId="0" fontId="50" fillId="0" borderId="0" xfId="0" applyFont="1" applyAlignment="1">
      <alignment vertical="center" wrapText="1"/>
    </xf>
    <xf numFmtId="3" fontId="11" fillId="17" borderId="60" xfId="0" applyNumberFormat="1" applyFont="1" applyFill="1" applyBorder="1" applyAlignment="1">
      <alignment horizontal="right" vertical="center" indent="2"/>
    </xf>
    <xf numFmtId="4" fontId="0" fillId="17" borderId="206" xfId="0" applyNumberFormat="1" applyFill="1" applyBorder="1" applyAlignment="1">
      <alignment horizontal="right" vertical="center" indent="2"/>
    </xf>
    <xf numFmtId="9" fontId="0" fillId="17" borderId="209" xfId="4" applyFont="1" applyFill="1" applyBorder="1" applyAlignment="1">
      <alignment horizontal="right" vertical="center" indent="2"/>
    </xf>
    <xf numFmtId="3" fontId="0" fillId="17" borderId="126" xfId="4" applyNumberFormat="1" applyFont="1" applyFill="1" applyBorder="1" applyAlignment="1">
      <alignment horizontal="right" vertical="center" indent="2"/>
    </xf>
    <xf numFmtId="3" fontId="0" fillId="17" borderId="40" xfId="4" applyNumberFormat="1" applyFont="1" applyFill="1" applyBorder="1" applyAlignment="1">
      <alignment horizontal="right" vertical="center" indent="2"/>
    </xf>
    <xf numFmtId="9" fontId="0" fillId="17" borderId="126" xfId="4" applyFont="1" applyFill="1" applyBorder="1" applyAlignment="1">
      <alignment horizontal="right" vertical="center" indent="2"/>
    </xf>
    <xf numFmtId="4" fontId="0" fillId="17" borderId="210" xfId="4" applyNumberFormat="1" applyFont="1" applyFill="1" applyBorder="1" applyAlignment="1">
      <alignment horizontal="right" vertical="center" indent="2"/>
    </xf>
    <xf numFmtId="4" fontId="0" fillId="17" borderId="114" xfId="4" applyNumberFormat="1" applyFont="1" applyFill="1" applyBorder="1" applyAlignment="1">
      <alignment horizontal="right" vertical="center" indent="2"/>
    </xf>
    <xf numFmtId="3" fontId="0" fillId="17" borderId="114" xfId="4" applyNumberFormat="1" applyFont="1" applyFill="1" applyBorder="1" applyAlignment="1">
      <alignment horizontal="right" vertical="center" indent="2"/>
    </xf>
    <xf numFmtId="3" fontId="0" fillId="17" borderId="207" xfId="4" applyNumberFormat="1" applyFont="1" applyFill="1" applyBorder="1" applyAlignment="1">
      <alignment horizontal="right" vertical="center" indent="2"/>
    </xf>
    <xf numFmtId="0" fontId="0" fillId="17" borderId="209" xfId="0" applyFill="1" applyBorder="1" applyAlignment="1">
      <alignment horizontal="center"/>
    </xf>
    <xf numFmtId="9" fontId="50" fillId="17" borderId="27" xfId="0" applyNumberFormat="1" applyFont="1" applyFill="1" applyBorder="1" applyAlignment="1">
      <alignment horizontal="center"/>
    </xf>
    <xf numFmtId="0" fontId="50" fillId="0" borderId="80" xfId="0" applyFont="1" applyBorder="1" applyAlignment="1">
      <alignment horizontal="center" vertical="center" wrapText="1"/>
    </xf>
    <xf numFmtId="9" fontId="50" fillId="17" borderId="20" xfId="0" applyNumberFormat="1" applyFont="1" applyFill="1" applyBorder="1" applyAlignment="1">
      <alignment horizontal="center"/>
    </xf>
    <xf numFmtId="0" fontId="50" fillId="17" borderId="154" xfId="0" applyFont="1" applyFill="1" applyBorder="1"/>
    <xf numFmtId="9" fontId="50" fillId="17" borderId="209" xfId="0" applyNumberFormat="1" applyFont="1" applyFill="1" applyBorder="1" applyAlignment="1">
      <alignment horizontal="center"/>
    </xf>
    <xf numFmtId="9" fontId="50" fillId="17" borderId="126" xfId="0" applyNumberFormat="1" applyFont="1" applyFill="1" applyBorder="1" applyAlignment="1">
      <alignment horizontal="center"/>
    </xf>
    <xf numFmtId="0" fontId="35" fillId="0" borderId="35" xfId="0" applyFont="1" applyBorder="1" applyAlignment="1">
      <alignment horizontal="center" vertical="center" wrapText="1"/>
    </xf>
    <xf numFmtId="4" fontId="0" fillId="17" borderId="205" xfId="0" applyNumberFormat="1" applyFill="1" applyBorder="1" applyAlignment="1">
      <alignment horizontal="right" vertical="center" indent="2"/>
    </xf>
    <xf numFmtId="9" fontId="0" fillId="17" borderId="60" xfId="0" applyNumberFormat="1" applyFill="1" applyBorder="1" applyAlignment="1">
      <alignment horizontal="right" vertical="center"/>
    </xf>
    <xf numFmtId="9" fontId="0" fillId="17" borderId="22" xfId="0" applyNumberFormat="1" applyFill="1" applyBorder="1" applyAlignment="1">
      <alignment horizontal="right" vertical="center"/>
    </xf>
    <xf numFmtId="4" fontId="0" fillId="17" borderId="59" xfId="0" applyNumberFormat="1" applyFill="1" applyBorder="1" applyAlignment="1">
      <alignment horizontal="right" vertical="center" indent="2"/>
    </xf>
    <xf numFmtId="174" fontId="0" fillId="17" borderId="22" xfId="0" applyNumberFormat="1" applyFill="1" applyBorder="1" applyAlignment="1">
      <alignment horizontal="right" vertical="center" indent="2"/>
    </xf>
    <xf numFmtId="174" fontId="0" fillId="17" borderId="38" xfId="0" applyNumberFormat="1" applyFill="1" applyBorder="1" applyAlignment="1">
      <alignment horizontal="right" vertical="center" indent="2"/>
    </xf>
    <xf numFmtId="174" fontId="0" fillId="17" borderId="126" xfId="0" applyNumberFormat="1" applyFill="1" applyBorder="1" applyAlignment="1">
      <alignment horizontal="center"/>
    </xf>
    <xf numFmtId="174" fontId="0" fillId="17" borderId="40" xfId="0" applyNumberFormat="1" applyFill="1" applyBorder="1" applyAlignment="1">
      <alignment horizontal="center"/>
    </xf>
    <xf numFmtId="174" fontId="0" fillId="17" borderId="86" xfId="0" applyNumberFormat="1" applyFill="1" applyBorder="1" applyAlignment="1">
      <alignment horizontal="right" vertical="center" indent="2"/>
    </xf>
    <xf numFmtId="174" fontId="50" fillId="17" borderId="126" xfId="0" applyNumberFormat="1" applyFont="1" applyFill="1" applyBorder="1" applyAlignment="1">
      <alignment horizontal="center"/>
    </xf>
    <xf numFmtId="174" fontId="50" fillId="17" borderId="40" xfId="0" applyNumberFormat="1" applyFont="1" applyFill="1" applyBorder="1" applyAlignment="1">
      <alignment horizontal="center"/>
    </xf>
    <xf numFmtId="174" fontId="0" fillId="17" borderId="124" xfId="0" applyNumberFormat="1" applyFill="1" applyBorder="1" applyAlignment="1">
      <alignment horizontal="right" vertical="center" indent="2"/>
    </xf>
    <xf numFmtId="174" fontId="0" fillId="17" borderId="207" xfId="0" applyNumberFormat="1" applyFill="1" applyBorder="1" applyAlignment="1">
      <alignment horizontal="right" vertical="center" indent="2"/>
    </xf>
    <xf numFmtId="4" fontId="0" fillId="17" borderId="209" xfId="4" applyNumberFormat="1" applyFont="1" applyFill="1" applyBorder="1" applyAlignment="1">
      <alignment horizontal="right" vertical="center" indent="2"/>
    </xf>
    <xf numFmtId="4" fontId="0" fillId="17" borderId="126" xfId="4" applyNumberFormat="1" applyFont="1" applyFill="1" applyBorder="1" applyAlignment="1">
      <alignment horizontal="right" vertical="center" indent="2"/>
    </xf>
    <xf numFmtId="0" fontId="7" fillId="0" borderId="148" xfId="0" applyFont="1" applyBorder="1" applyAlignment="1">
      <alignment horizontal="center" vertical="center" wrapText="1"/>
    </xf>
    <xf numFmtId="0" fontId="7" fillId="17" borderId="148" xfId="0" applyFont="1" applyFill="1" applyBorder="1"/>
    <xf numFmtId="9" fontId="7" fillId="17" borderId="64" xfId="0" applyNumberFormat="1" applyFont="1" applyFill="1" applyBorder="1" applyAlignment="1">
      <alignment horizontal="center"/>
    </xf>
    <xf numFmtId="9" fontId="7" fillId="17" borderId="65" xfId="0" applyNumberFormat="1" applyFont="1" applyFill="1" applyBorder="1" applyAlignment="1">
      <alignment horizontal="center"/>
    </xf>
    <xf numFmtId="3" fontId="5" fillId="17" borderId="66" xfId="4" applyNumberFormat="1" applyFill="1" applyBorder="1" applyAlignment="1">
      <alignment horizontal="right" vertical="center" indent="2"/>
    </xf>
    <xf numFmtId="174" fontId="5" fillId="17" borderId="65" xfId="4" applyNumberFormat="1" applyFill="1" applyBorder="1" applyAlignment="1">
      <alignment horizontal="right" vertical="center" indent="2"/>
    </xf>
    <xf numFmtId="174" fontId="5" fillId="17" borderId="66" xfId="4" applyNumberFormat="1" applyFill="1" applyBorder="1" applyAlignment="1">
      <alignment horizontal="right" vertical="center" indent="2"/>
    </xf>
    <xf numFmtId="174" fontId="0" fillId="17" borderId="40" xfId="0" applyNumberFormat="1" applyFill="1" applyBorder="1" applyAlignment="1">
      <alignment horizontal="right" vertical="center" indent="2"/>
    </xf>
    <xf numFmtId="4" fontId="11" fillId="17" borderId="20" xfId="0" applyNumberFormat="1" applyFont="1" applyFill="1" applyBorder="1" applyAlignment="1">
      <alignment horizontal="right" vertical="center" indent="1"/>
    </xf>
    <xf numFmtId="4" fontId="11" fillId="17" borderId="86" xfId="0" applyNumberFormat="1" applyFont="1" applyFill="1" applyBorder="1" applyAlignment="1">
      <alignment horizontal="right" vertical="center" indent="1"/>
    </xf>
    <xf numFmtId="9" fontId="63" fillId="17" borderId="65" xfId="0" applyNumberFormat="1" applyFont="1" applyFill="1" applyBorder="1" applyAlignment="1">
      <alignment horizontal="right" indent="1"/>
    </xf>
    <xf numFmtId="4" fontId="11" fillId="17" borderId="124" xfId="0" applyNumberFormat="1" applyFont="1" applyFill="1" applyBorder="1" applyAlignment="1">
      <alignment horizontal="right" vertical="center" indent="1"/>
    </xf>
    <xf numFmtId="0" fontId="11" fillId="17" borderId="86" xfId="0" applyFont="1" applyFill="1" applyBorder="1" applyAlignment="1">
      <alignment horizontal="right" indent="1"/>
    </xf>
    <xf numFmtId="4" fontId="11" fillId="17" borderId="22" xfId="0" applyNumberFormat="1" applyFont="1" applyFill="1" applyBorder="1" applyAlignment="1">
      <alignment horizontal="right" vertical="center" indent="1"/>
    </xf>
    <xf numFmtId="4" fontId="11" fillId="17" borderId="20" xfId="0" applyNumberFormat="1" applyFont="1" applyFill="1" applyBorder="1" applyAlignment="1">
      <alignment horizontal="right" vertical="center"/>
    </xf>
    <xf numFmtId="4" fontId="11" fillId="17" borderId="115" xfId="0" applyNumberFormat="1" applyFont="1" applyFill="1" applyBorder="1" applyAlignment="1">
      <alignment horizontal="right" vertical="center"/>
    </xf>
    <xf numFmtId="4" fontId="11" fillId="17" borderId="86" xfId="0" applyNumberFormat="1" applyFont="1" applyFill="1" applyBorder="1" applyAlignment="1">
      <alignment horizontal="right" vertical="center"/>
    </xf>
    <xf numFmtId="9" fontId="11" fillId="17" borderId="126" xfId="4" applyFont="1" applyFill="1" applyBorder="1" applyAlignment="1">
      <alignment horizontal="right" vertical="center"/>
    </xf>
    <xf numFmtId="4" fontId="11" fillId="17" borderId="114" xfId="4" applyNumberFormat="1" applyFont="1" applyFill="1" applyBorder="1" applyAlignment="1">
      <alignment horizontal="right" vertical="center"/>
    </xf>
    <xf numFmtId="4" fontId="11" fillId="17" borderId="126" xfId="4" applyNumberFormat="1" applyFont="1" applyFill="1" applyBorder="1" applyAlignment="1">
      <alignment horizontal="right" vertical="center"/>
    </xf>
    <xf numFmtId="9" fontId="63" fillId="17" borderId="65" xfId="0" applyNumberFormat="1" applyFont="1" applyFill="1" applyBorder="1" applyAlignment="1">
      <alignment horizontal="right"/>
    </xf>
    <xf numFmtId="4" fontId="11" fillId="17" borderId="124" xfId="0" applyNumberFormat="1" applyFont="1" applyFill="1" applyBorder="1" applyAlignment="1">
      <alignment horizontal="right" vertical="center"/>
    </xf>
    <xf numFmtId="3" fontId="0" fillId="17" borderId="20" xfId="0" applyNumberFormat="1" applyFill="1" applyBorder="1" applyAlignment="1">
      <alignment horizontal="right" vertical="center" indent="1"/>
    </xf>
    <xf numFmtId="3" fontId="0" fillId="17" borderId="86" xfId="0" applyNumberFormat="1" applyFill="1" applyBorder="1" applyAlignment="1">
      <alignment horizontal="right" vertical="center" indent="1"/>
    </xf>
    <xf numFmtId="3" fontId="7" fillId="17" borderId="65" xfId="0" applyNumberFormat="1" applyFont="1" applyFill="1" applyBorder="1" applyAlignment="1">
      <alignment horizontal="right" indent="1"/>
    </xf>
    <xf numFmtId="3" fontId="0" fillId="17" borderId="124" xfId="0" applyNumberFormat="1" applyFill="1" applyBorder="1" applyAlignment="1">
      <alignment horizontal="right" vertical="center" indent="1"/>
    </xf>
    <xf numFmtId="0" fontId="7" fillId="0" borderId="154" xfId="0" applyFont="1" applyBorder="1" applyAlignment="1">
      <alignment horizontal="center" vertical="center" wrapText="1"/>
    </xf>
    <xf numFmtId="0" fontId="7" fillId="17" borderId="154" xfId="0" applyFont="1" applyFill="1" applyBorder="1"/>
    <xf numFmtId="9" fontId="7" fillId="17" borderId="116" xfId="0" applyNumberFormat="1" applyFont="1" applyFill="1" applyBorder="1" applyAlignment="1">
      <alignment horizontal="center"/>
    </xf>
    <xf numFmtId="9" fontId="7" fillId="17" borderId="86" xfId="0" applyNumberFormat="1" applyFont="1" applyFill="1" applyBorder="1" applyAlignment="1">
      <alignment horizontal="center"/>
    </xf>
    <xf numFmtId="174" fontId="5" fillId="17" borderId="86" xfId="4" applyNumberFormat="1" applyFill="1" applyBorder="1" applyAlignment="1">
      <alignment horizontal="right" vertical="center" indent="2"/>
    </xf>
    <xf numFmtId="174" fontId="5" fillId="17" borderId="39" xfId="4" applyNumberFormat="1" applyFill="1" applyBorder="1" applyAlignment="1">
      <alignment horizontal="right" vertical="center" indent="2"/>
    </xf>
    <xf numFmtId="0" fontId="0" fillId="17" borderId="20" xfId="0" applyFill="1" applyBorder="1" applyAlignment="1">
      <alignment horizontal="center"/>
    </xf>
    <xf numFmtId="9" fontId="50" fillId="17" borderId="210" xfId="0" applyNumberFormat="1" applyFont="1" applyFill="1" applyBorder="1" applyAlignment="1">
      <alignment horizontal="center"/>
    </xf>
    <xf numFmtId="0" fontId="0" fillId="0" borderId="9" xfId="0" applyBorder="1" applyAlignment="1">
      <alignment horizontal="center" vertical="center" wrapText="1"/>
    </xf>
    <xf numFmtId="0" fontId="0" fillId="17" borderId="9" xfId="0" applyFill="1" applyBorder="1" applyAlignment="1">
      <alignment horizontal="left" vertical="center" wrapText="1"/>
    </xf>
    <xf numFmtId="4" fontId="0" fillId="17" borderId="27" xfId="0" applyNumberFormat="1" applyFill="1" applyBorder="1" applyAlignment="1">
      <alignment horizontal="right" vertical="center" indent="2"/>
    </xf>
    <xf numFmtId="4" fontId="0" fillId="17" borderId="32" xfId="0" applyNumberFormat="1" applyFill="1" applyBorder="1" applyAlignment="1">
      <alignment horizontal="right" vertical="center" indent="2"/>
    </xf>
    <xf numFmtId="4" fontId="0" fillId="17" borderId="25" xfId="0" applyNumberFormat="1" applyFill="1" applyBorder="1" applyAlignment="1">
      <alignment horizontal="right" vertical="center" indent="2"/>
    </xf>
    <xf numFmtId="9" fontId="0" fillId="17" borderId="32" xfId="0" applyNumberFormat="1" applyFill="1" applyBorder="1" applyAlignment="1">
      <alignment horizontal="right" vertical="center"/>
    </xf>
    <xf numFmtId="174" fontId="0" fillId="17" borderId="32" xfId="0" applyNumberFormat="1" applyFill="1" applyBorder="1" applyAlignment="1">
      <alignment horizontal="right" vertical="center" indent="2"/>
    </xf>
    <xf numFmtId="174" fontId="0" fillId="17" borderId="208" xfId="0" applyNumberFormat="1" applyFill="1" applyBorder="1" applyAlignment="1">
      <alignment horizontal="right" vertical="center" indent="2"/>
    </xf>
    <xf numFmtId="9" fontId="63" fillId="17" borderId="86" xfId="0" applyNumberFormat="1" applyFont="1" applyFill="1" applyBorder="1" applyAlignment="1">
      <alignment horizontal="right"/>
    </xf>
    <xf numFmtId="3" fontId="7" fillId="17" borderId="86" xfId="0" applyNumberFormat="1" applyFont="1" applyFill="1" applyBorder="1" applyAlignment="1">
      <alignment horizontal="right" indent="1"/>
    </xf>
    <xf numFmtId="3" fontId="5" fillId="17" borderId="39" xfId="4" applyNumberFormat="1" applyFill="1" applyBorder="1" applyAlignment="1">
      <alignment horizontal="right" vertical="center" indent="2"/>
    </xf>
    <xf numFmtId="0" fontId="50" fillId="17" borderId="9" xfId="0" applyFont="1" applyFill="1" applyBorder="1"/>
    <xf numFmtId="9" fontId="50" fillId="17" borderId="25" xfId="0" applyNumberFormat="1" applyFont="1" applyFill="1" applyBorder="1" applyAlignment="1">
      <alignment horizontal="center"/>
    </xf>
    <xf numFmtId="9" fontId="48" fillId="17" borderId="27" xfId="0" applyNumberFormat="1" applyFont="1" applyFill="1" applyBorder="1" applyAlignment="1">
      <alignment horizontal="right"/>
    </xf>
    <xf numFmtId="3" fontId="50" fillId="17" borderId="27" xfId="0" applyNumberFormat="1" applyFont="1" applyFill="1" applyBorder="1" applyAlignment="1">
      <alignment horizontal="right" indent="1"/>
    </xf>
    <xf numFmtId="4" fontId="0" fillId="0" borderId="0" xfId="0" applyNumberFormat="1" applyAlignment="1">
      <alignment horizontal="center"/>
    </xf>
    <xf numFmtId="9" fontId="5" fillId="17" borderId="20" xfId="4" applyFill="1" applyBorder="1" applyAlignment="1">
      <alignment horizontal="right" vertical="center"/>
    </xf>
    <xf numFmtId="9" fontId="0" fillId="17" borderId="113" xfId="0" applyNumberFormat="1" applyFill="1" applyBorder="1" applyAlignment="1">
      <alignment horizontal="right" vertical="center"/>
    </xf>
    <xf numFmtId="9" fontId="0" fillId="17" borderId="126" xfId="0" applyNumberFormat="1" applyFill="1" applyBorder="1" applyAlignment="1">
      <alignment horizontal="right" vertical="center"/>
    </xf>
    <xf numFmtId="9" fontId="50" fillId="17" borderId="126" xfId="0" applyNumberFormat="1" applyFont="1" applyFill="1" applyBorder="1" applyAlignment="1">
      <alignment horizontal="right" vertical="center"/>
    </xf>
    <xf numFmtId="9" fontId="7" fillId="17" borderId="65" xfId="0" applyNumberFormat="1" applyFont="1" applyFill="1" applyBorder="1" applyAlignment="1">
      <alignment horizontal="right" vertical="center"/>
    </xf>
    <xf numFmtId="9" fontId="7" fillId="17" borderId="86" xfId="0" applyNumberFormat="1" applyFont="1" applyFill="1" applyBorder="1" applyAlignment="1">
      <alignment horizontal="right" vertical="center"/>
    </xf>
    <xf numFmtId="174" fontId="11" fillId="17" borderId="86" xfId="0" applyNumberFormat="1" applyFont="1" applyFill="1" applyBorder="1" applyAlignment="1">
      <alignment horizontal="right" vertical="center" indent="2"/>
    </xf>
    <xf numFmtId="174" fontId="11" fillId="17" borderId="113" xfId="0" applyNumberFormat="1" applyFont="1" applyFill="1" applyBorder="1" applyAlignment="1">
      <alignment horizontal="right" vertical="center" indent="2"/>
    </xf>
    <xf numFmtId="174" fontId="11" fillId="17" borderId="22" xfId="0" applyNumberFormat="1" applyFont="1" applyFill="1" applyBorder="1" applyAlignment="1">
      <alignment horizontal="right" vertical="center" indent="2"/>
    </xf>
    <xf numFmtId="174" fontId="11" fillId="17" borderId="126" xfId="0" applyNumberFormat="1" applyFont="1" applyFill="1" applyBorder="1" applyAlignment="1">
      <alignment horizontal="center"/>
    </xf>
    <xf numFmtId="174" fontId="48" fillId="17" borderId="126" xfId="0" applyNumberFormat="1" applyFont="1" applyFill="1" applyBorder="1" applyAlignment="1">
      <alignment horizontal="center"/>
    </xf>
    <xf numFmtId="174" fontId="63" fillId="17" borderId="65" xfId="0" applyNumberFormat="1" applyFont="1" applyFill="1" applyBorder="1" applyAlignment="1">
      <alignment horizontal="right" indent="2"/>
    </xf>
    <xf numFmtId="174" fontId="11" fillId="17" borderId="124" xfId="0" applyNumberFormat="1" applyFont="1" applyFill="1" applyBorder="1" applyAlignment="1">
      <alignment horizontal="right" vertical="center" indent="2"/>
    </xf>
    <xf numFmtId="174" fontId="63" fillId="17" borderId="86" xfId="0" applyNumberFormat="1" applyFont="1" applyFill="1" applyBorder="1" applyAlignment="1">
      <alignment horizontal="right" indent="2"/>
    </xf>
    <xf numFmtId="4" fontId="11" fillId="17" borderId="113" xfId="0" applyNumberFormat="1" applyFont="1" applyFill="1" applyBorder="1" applyAlignment="1">
      <alignment horizontal="right" vertical="center" indent="1"/>
    </xf>
    <xf numFmtId="0" fontId="11" fillId="17" borderId="126" xfId="0" applyFont="1" applyFill="1" applyBorder="1" applyAlignment="1">
      <alignment horizontal="right" indent="1"/>
    </xf>
    <xf numFmtId="9" fontId="48" fillId="17" borderId="126" xfId="0" applyNumberFormat="1" applyFont="1" applyFill="1" applyBorder="1" applyAlignment="1">
      <alignment horizontal="right" indent="1"/>
    </xf>
    <xf numFmtId="9" fontId="63" fillId="17" borderId="86" xfId="0" applyNumberFormat="1" applyFont="1" applyFill="1" applyBorder="1" applyAlignment="1">
      <alignment horizontal="right" indent="1"/>
    </xf>
    <xf numFmtId="4" fontId="11" fillId="17" borderId="32" xfId="0" applyNumberFormat="1" applyFont="1" applyFill="1" applyBorder="1" applyAlignment="1">
      <alignment horizontal="right" vertical="center" indent="1"/>
    </xf>
    <xf numFmtId="4" fontId="0" fillId="17" borderId="60" xfId="0" applyNumberFormat="1" applyFill="1" applyBorder="1" applyAlignment="1">
      <alignment horizontal="right" vertical="center" indent="1"/>
    </xf>
    <xf numFmtId="169" fontId="0" fillId="0" borderId="0" xfId="0" applyNumberFormat="1" applyAlignment="1">
      <alignment horizontal="right"/>
    </xf>
    <xf numFmtId="3" fontId="0" fillId="17" borderId="208" xfId="0" applyNumberFormat="1" applyFill="1" applyBorder="1" applyAlignment="1">
      <alignment horizontal="right" vertical="center" indent="2"/>
    </xf>
    <xf numFmtId="173" fontId="0" fillId="0" borderId="0" xfId="4" applyNumberFormat="1" applyFont="1" applyAlignment="1">
      <alignment horizontal="right"/>
    </xf>
    <xf numFmtId="3" fontId="11" fillId="17" borderId="60" xfId="0" applyNumberFormat="1" applyFont="1" applyFill="1" applyBorder="1" applyAlignment="1">
      <alignment horizontal="right" vertical="center" indent="1"/>
    </xf>
    <xf numFmtId="3" fontId="11" fillId="17" borderId="86" xfId="0" applyNumberFormat="1" applyFont="1" applyFill="1" applyBorder="1" applyAlignment="1">
      <alignment horizontal="right" vertical="center" indent="1"/>
    </xf>
    <xf numFmtId="3" fontId="11" fillId="17" borderId="113" xfId="0" applyNumberFormat="1" applyFont="1" applyFill="1" applyBorder="1" applyAlignment="1">
      <alignment horizontal="right" vertical="center" indent="1"/>
    </xf>
    <xf numFmtId="3" fontId="11" fillId="17" borderId="22" xfId="0" applyNumberFormat="1" applyFont="1" applyFill="1" applyBorder="1" applyAlignment="1">
      <alignment horizontal="right" vertical="center" indent="1"/>
    </xf>
    <xf numFmtId="3" fontId="11" fillId="17" borderId="124" xfId="0" applyNumberFormat="1" applyFont="1" applyFill="1" applyBorder="1" applyAlignment="1">
      <alignment horizontal="right" vertical="center" indent="1"/>
    </xf>
    <xf numFmtId="3" fontId="63" fillId="17" borderId="65" xfId="0" applyNumberFormat="1" applyFont="1" applyFill="1" applyBorder="1" applyAlignment="1">
      <alignment horizontal="right" indent="1"/>
    </xf>
    <xf numFmtId="3" fontId="63" fillId="17" borderId="86" xfId="0" applyNumberFormat="1" applyFont="1" applyFill="1" applyBorder="1" applyAlignment="1">
      <alignment horizontal="right" indent="1"/>
    </xf>
    <xf numFmtId="3" fontId="0" fillId="17" borderId="32" xfId="0" applyNumberFormat="1" applyFill="1" applyBorder="1" applyAlignment="1">
      <alignment horizontal="right" vertical="center" indent="1"/>
    </xf>
    <xf numFmtId="3" fontId="0" fillId="17" borderId="60" xfId="0" applyNumberFormat="1" applyFill="1" applyBorder="1" applyAlignment="1">
      <alignment horizontal="right" vertical="center" indent="1"/>
    </xf>
    <xf numFmtId="3" fontId="0" fillId="17" borderId="113" xfId="0" applyNumberFormat="1" applyFill="1" applyBorder="1" applyAlignment="1">
      <alignment horizontal="right" vertical="center" indent="1"/>
    </xf>
    <xf numFmtId="3" fontId="0" fillId="17" borderId="22" xfId="0" applyNumberFormat="1" applyFill="1" applyBorder="1" applyAlignment="1">
      <alignment horizontal="right" vertical="center" indent="1"/>
    </xf>
    <xf numFmtId="3" fontId="5" fillId="17" borderId="65" xfId="4" applyNumberFormat="1" applyFill="1" applyBorder="1" applyAlignment="1">
      <alignment horizontal="right" vertical="center" indent="1"/>
    </xf>
    <xf numFmtId="3" fontId="5" fillId="17" borderId="86" xfId="4" applyNumberFormat="1" applyFill="1" applyBorder="1" applyAlignment="1">
      <alignment horizontal="right" vertical="center" indent="1"/>
    </xf>
    <xf numFmtId="174" fontId="0" fillId="0" borderId="0" xfId="0" applyNumberFormat="1"/>
    <xf numFmtId="174" fontId="11" fillId="0" borderId="0" xfId="0" applyNumberFormat="1" applyFont="1"/>
    <xf numFmtId="4" fontId="86" fillId="4" borderId="117" xfId="2" applyNumberFormat="1" applyFont="1" applyBorder="1" applyAlignment="1">
      <alignment horizontal="right" vertical="top" wrapText="1"/>
    </xf>
    <xf numFmtId="0" fontId="35" fillId="0" borderId="211" xfId="0" applyFont="1" applyBorder="1" applyAlignment="1">
      <alignment horizontal="center" vertical="center" wrapText="1"/>
    </xf>
    <xf numFmtId="3" fontId="0" fillId="17" borderId="119" xfId="0" applyNumberFormat="1" applyFill="1" applyBorder="1" applyAlignment="1">
      <alignment horizontal="right" vertical="center" indent="2"/>
    </xf>
    <xf numFmtId="3" fontId="0" fillId="17" borderId="0" xfId="0" applyNumberFormat="1" applyFill="1" applyAlignment="1">
      <alignment horizontal="right" vertical="center" indent="2"/>
    </xf>
    <xf numFmtId="3" fontId="50" fillId="17" borderId="26" xfId="0" applyNumberFormat="1" applyFont="1" applyFill="1" applyBorder="1" applyAlignment="1">
      <alignment horizontal="center"/>
    </xf>
    <xf numFmtId="3" fontId="0" fillId="17" borderId="116" xfId="0" applyNumberFormat="1" applyFill="1" applyBorder="1" applyAlignment="1">
      <alignment horizontal="right" vertical="center" indent="2"/>
    </xf>
    <xf numFmtId="3" fontId="0" fillId="17" borderId="115" xfId="0" applyNumberFormat="1" applyFill="1" applyBorder="1" applyAlignment="1">
      <alignment horizontal="right" vertical="center" indent="2"/>
    </xf>
    <xf numFmtId="3" fontId="0" fillId="17" borderId="20" xfId="4" applyNumberFormat="1" applyFont="1" applyFill="1" applyBorder="1" applyAlignment="1">
      <alignment horizontal="right" vertical="center" indent="2"/>
    </xf>
    <xf numFmtId="3" fontId="0" fillId="17" borderId="124" xfId="4" applyNumberFormat="1" applyFont="1" applyFill="1" applyBorder="1" applyAlignment="1">
      <alignment horizontal="right" vertical="center" indent="2"/>
    </xf>
    <xf numFmtId="3" fontId="0" fillId="17" borderId="113" xfId="0" applyNumberFormat="1" applyFill="1" applyBorder="1" applyAlignment="1">
      <alignment horizontal="right" vertical="center" indent="2"/>
    </xf>
    <xf numFmtId="0" fontId="50" fillId="17" borderId="27" xfId="0" applyFont="1" applyFill="1" applyBorder="1" applyAlignment="1">
      <alignment horizontal="center"/>
    </xf>
    <xf numFmtId="0" fontId="29" fillId="0" borderId="8" xfId="0" applyFont="1" applyBorder="1" applyAlignment="1">
      <alignment horizontal="center" vertical="center" wrapText="1"/>
    </xf>
    <xf numFmtId="3" fontId="11" fillId="17" borderId="89" xfId="0" applyNumberFormat="1" applyFont="1" applyFill="1" applyBorder="1" applyAlignment="1">
      <alignment horizontal="right" vertical="center" indent="2"/>
    </xf>
    <xf numFmtId="3" fontId="11" fillId="17" borderId="154" xfId="0" applyNumberFormat="1" applyFont="1" applyFill="1" applyBorder="1" applyAlignment="1">
      <alignment horizontal="right" vertical="center" indent="2"/>
    </xf>
    <xf numFmtId="3" fontId="11" fillId="17" borderId="80" xfId="4" applyNumberFormat="1" applyFont="1" applyFill="1" applyBorder="1" applyAlignment="1">
      <alignment horizontal="right" vertical="center" indent="2"/>
    </xf>
    <xf numFmtId="3" fontId="11" fillId="17" borderId="152" xfId="4" applyNumberFormat="1" applyFont="1" applyFill="1" applyBorder="1" applyAlignment="1">
      <alignment horizontal="right" vertical="center" indent="2"/>
    </xf>
    <xf numFmtId="3" fontId="11" fillId="17" borderId="147" xfId="0" applyNumberFormat="1" applyFont="1" applyFill="1" applyBorder="1" applyAlignment="1">
      <alignment horizontal="right" vertical="center" indent="2"/>
    </xf>
    <xf numFmtId="0" fontId="48" fillId="17" borderId="9" xfId="0" applyFont="1" applyFill="1" applyBorder="1" applyAlignment="1">
      <alignment horizontal="center"/>
    </xf>
    <xf numFmtId="174" fontId="0" fillId="0" borderId="0" xfId="0" applyNumberFormat="1" applyAlignment="1">
      <alignment horizontal="right"/>
    </xf>
    <xf numFmtId="174" fontId="11" fillId="0" borderId="0" xfId="0" applyNumberFormat="1" applyFont="1" applyAlignment="1">
      <alignment horizontal="right"/>
    </xf>
    <xf numFmtId="166" fontId="17" fillId="5" borderId="84" xfId="5" applyNumberFormat="1" applyFont="1" applyFill="1" applyBorder="1" applyAlignment="1">
      <alignment horizontal="right" vertical="center" wrapText="1"/>
    </xf>
    <xf numFmtId="166" fontId="17" fillId="5" borderId="53" xfId="5" applyNumberFormat="1" applyFont="1" applyFill="1" applyBorder="1" applyAlignment="1">
      <alignment horizontal="right" vertical="center" wrapText="1"/>
    </xf>
    <xf numFmtId="166" fontId="17" fillId="5" borderId="41" xfId="5" applyNumberFormat="1" applyFont="1" applyFill="1" applyBorder="1" applyAlignment="1">
      <alignment horizontal="right" vertical="center" wrapText="1"/>
    </xf>
    <xf numFmtId="166" fontId="17" fillId="5" borderId="17" xfId="5" applyNumberFormat="1" applyFont="1" applyFill="1" applyBorder="1" applyAlignment="1">
      <alignment horizontal="right" vertical="center" wrapText="1"/>
    </xf>
    <xf numFmtId="166" fontId="17" fillId="5" borderId="85" xfId="5" applyNumberFormat="1" applyFont="1" applyFill="1" applyBorder="1" applyAlignment="1">
      <alignment horizontal="right" vertical="center" wrapText="1"/>
    </xf>
    <xf numFmtId="166" fontId="17" fillId="5" borderId="56" xfId="5" applyNumberFormat="1" applyFont="1" applyFill="1" applyBorder="1" applyAlignment="1">
      <alignment horizontal="right" vertical="center" wrapText="1"/>
    </xf>
    <xf numFmtId="9" fontId="7" fillId="0" borderId="0" xfId="0" applyNumberFormat="1" applyFont="1" applyAlignment="1">
      <alignment vertical="top"/>
    </xf>
    <xf numFmtId="3" fontId="33" fillId="0" borderId="0" xfId="0" applyNumberFormat="1" applyFont="1"/>
    <xf numFmtId="167" fontId="17" fillId="5" borderId="53" xfId="3" applyNumberFormat="1" applyFont="1" applyBorder="1" applyAlignment="1">
      <alignment horizontal="right" vertical="center" wrapText="1"/>
    </xf>
    <xf numFmtId="167" fontId="17" fillId="5" borderId="17" xfId="3" applyNumberFormat="1" applyFont="1" applyAlignment="1">
      <alignment horizontal="right" vertical="center" wrapText="1"/>
    </xf>
    <xf numFmtId="167" fontId="17" fillId="5" borderId="56" xfId="3" applyNumberFormat="1" applyFont="1" applyBorder="1" applyAlignment="1">
      <alignment horizontal="right" vertical="center" wrapText="1"/>
    </xf>
    <xf numFmtId="175" fontId="17" fillId="5" borderId="84" xfId="5" applyNumberFormat="1" applyFont="1" applyFill="1" applyBorder="1" applyAlignment="1">
      <alignment horizontal="right" vertical="center" wrapText="1"/>
    </xf>
    <xf numFmtId="175" fontId="17" fillId="5" borderId="53" xfId="5" applyNumberFormat="1" applyFont="1" applyFill="1" applyBorder="1" applyAlignment="1">
      <alignment horizontal="right" vertical="center" wrapText="1"/>
    </xf>
    <xf numFmtId="175" fontId="17" fillId="5" borderId="41" xfId="5" applyNumberFormat="1" applyFont="1" applyFill="1" applyBorder="1" applyAlignment="1">
      <alignment horizontal="right" vertical="center" wrapText="1"/>
    </xf>
    <xf numFmtId="175" fontId="17" fillId="5" borderId="17" xfId="5" applyNumberFormat="1" applyFont="1" applyFill="1" applyBorder="1" applyAlignment="1">
      <alignment horizontal="right" vertical="center" wrapText="1"/>
    </xf>
    <xf numFmtId="175" fontId="17" fillId="5" borderId="85" xfId="5" applyNumberFormat="1" applyFont="1" applyFill="1" applyBorder="1" applyAlignment="1">
      <alignment horizontal="right" vertical="center" wrapText="1"/>
    </xf>
    <xf numFmtId="175" fontId="17" fillId="5" borderId="56" xfId="5" applyNumberFormat="1" applyFont="1" applyFill="1" applyBorder="1" applyAlignment="1">
      <alignment horizontal="right" vertical="center" wrapText="1"/>
    </xf>
    <xf numFmtId="7" fontId="17" fillId="5" borderId="84" xfId="5" applyNumberFormat="1" applyFont="1" applyFill="1" applyBorder="1" applyAlignment="1">
      <alignment horizontal="right" vertical="center" wrapText="1"/>
    </xf>
    <xf numFmtId="7" fontId="17" fillId="5" borderId="53" xfId="5" applyNumberFormat="1" applyFont="1" applyFill="1" applyBorder="1" applyAlignment="1">
      <alignment horizontal="right" vertical="center" wrapText="1"/>
    </xf>
    <xf numFmtId="7" fontId="17" fillId="5" borderId="41" xfId="5" applyNumberFormat="1" applyFont="1" applyFill="1" applyBorder="1" applyAlignment="1">
      <alignment horizontal="right" vertical="center" wrapText="1"/>
    </xf>
    <xf numFmtId="7" fontId="17" fillId="5" borderId="17" xfId="5" applyNumberFormat="1" applyFont="1" applyFill="1" applyBorder="1" applyAlignment="1">
      <alignment horizontal="right" vertical="center" wrapText="1"/>
    </xf>
    <xf numFmtId="7" fontId="17" fillId="5" borderId="85" xfId="5" applyNumberFormat="1" applyFont="1" applyFill="1" applyBorder="1" applyAlignment="1">
      <alignment horizontal="right" vertical="center" wrapText="1"/>
    </xf>
    <xf numFmtId="7" fontId="17" fillId="5" borderId="56" xfId="5" applyNumberFormat="1" applyFont="1" applyFill="1" applyBorder="1" applyAlignment="1">
      <alignment horizontal="right" vertical="center" wrapText="1"/>
    </xf>
    <xf numFmtId="7" fontId="17" fillId="5" borderId="53" xfId="3" applyNumberFormat="1" applyFont="1" applyBorder="1" applyAlignment="1">
      <alignment horizontal="right" vertical="center" wrapText="1"/>
    </xf>
    <xf numFmtId="7" fontId="17" fillId="5" borderId="17" xfId="3" applyNumberFormat="1" applyFont="1" applyAlignment="1">
      <alignment horizontal="right" vertical="center" wrapText="1"/>
    </xf>
    <xf numFmtId="7" fontId="17" fillId="5" borderId="127" xfId="3" applyNumberFormat="1" applyFont="1" applyBorder="1" applyAlignment="1">
      <alignment horizontal="right" vertical="center" wrapText="1"/>
    </xf>
    <xf numFmtId="6" fontId="70" fillId="0" borderId="0" xfId="0" applyNumberFormat="1" applyFont="1"/>
    <xf numFmtId="0" fontId="87" fillId="28" borderId="213" xfId="0" applyFont="1" applyFill="1" applyBorder="1" applyAlignment="1">
      <alignment vertical="center" wrapText="1"/>
    </xf>
    <xf numFmtId="176" fontId="87" fillId="28" borderId="213" xfId="10" applyNumberFormat="1" applyFont="1" applyFill="1" applyBorder="1" applyAlignment="1">
      <alignment horizontal="right" vertical="center" wrapText="1"/>
    </xf>
    <xf numFmtId="0" fontId="88" fillId="0" borderId="0" xfId="0" applyFont="1"/>
    <xf numFmtId="44" fontId="88" fillId="0" borderId="0" xfId="7" applyFont="1"/>
    <xf numFmtId="0" fontId="43" fillId="29" borderId="24" xfId="0" applyFont="1" applyFill="1" applyBorder="1" applyAlignment="1">
      <alignment horizontal="center" vertical="center"/>
    </xf>
    <xf numFmtId="0" fontId="43" fillId="29" borderId="0" xfId="0" applyFont="1" applyFill="1" applyAlignment="1">
      <alignment horizontal="center" vertical="center"/>
    </xf>
    <xf numFmtId="0" fontId="43" fillId="29" borderId="6" xfId="0" applyFont="1" applyFill="1" applyBorder="1" applyAlignment="1">
      <alignment horizontal="center" vertical="center"/>
    </xf>
    <xf numFmtId="0" fontId="43" fillId="29" borderId="199" xfId="0" applyFont="1" applyFill="1" applyBorder="1" applyAlignment="1">
      <alignment horizontal="center" vertical="center"/>
    </xf>
    <xf numFmtId="0" fontId="43" fillId="29" borderId="200" xfId="0" applyFont="1" applyFill="1" applyBorder="1" applyAlignment="1">
      <alignment horizontal="center" vertical="center"/>
    </xf>
    <xf numFmtId="0" fontId="43" fillId="29" borderId="159" xfId="0" applyFont="1" applyFill="1" applyBorder="1" applyAlignment="1">
      <alignment horizontal="center" vertical="center"/>
    </xf>
    <xf numFmtId="0" fontId="43" fillId="29" borderId="160" xfId="0" applyFont="1" applyFill="1" applyBorder="1" applyAlignment="1">
      <alignment horizontal="center" vertical="center"/>
    </xf>
    <xf numFmtId="0" fontId="43" fillId="29" borderId="198" xfId="0" applyFont="1" applyFill="1" applyBorder="1" applyAlignment="1">
      <alignment horizontal="center" vertical="center"/>
    </xf>
    <xf numFmtId="0" fontId="43" fillId="29" borderId="162" xfId="0" applyFont="1" applyFill="1" applyBorder="1" applyAlignment="1">
      <alignment horizontal="center" vertical="center"/>
    </xf>
    <xf numFmtId="0" fontId="43" fillId="29" borderId="163" xfId="0" applyFont="1" applyFill="1" applyBorder="1" applyAlignment="1">
      <alignment horizontal="center" vertical="center"/>
    </xf>
    <xf numFmtId="0" fontId="90" fillId="17" borderId="186" xfId="0" applyFont="1" applyFill="1" applyBorder="1" applyAlignment="1">
      <alignment horizontal="center" vertical="center" wrapText="1"/>
    </xf>
    <xf numFmtId="0" fontId="90" fillId="17" borderId="192" xfId="0" applyFont="1" applyFill="1" applyBorder="1" applyAlignment="1">
      <alignment horizontal="center" vertical="center"/>
    </xf>
    <xf numFmtId="0" fontId="90" fillId="17" borderId="193" xfId="0" applyFont="1" applyFill="1" applyBorder="1" applyAlignment="1">
      <alignment horizontal="center" vertical="center"/>
    </xf>
    <xf numFmtId="178" fontId="37" fillId="17" borderId="190" xfId="7" applyNumberFormat="1" applyFont="1" applyFill="1" applyBorder="1" applyAlignment="1">
      <alignment horizontal="center" vertical="center"/>
    </xf>
    <xf numFmtId="178" fontId="68" fillId="13" borderId="6" xfId="7" applyNumberFormat="1" applyFont="1" applyFill="1" applyBorder="1" applyAlignment="1">
      <alignment horizontal="center" vertical="center"/>
    </xf>
    <xf numFmtId="178" fontId="38" fillId="12" borderId="80" xfId="7" applyNumberFormat="1" applyFont="1" applyFill="1" applyBorder="1" applyAlignment="1">
      <alignment horizontal="center" vertical="center" wrapText="1"/>
    </xf>
    <xf numFmtId="178" fontId="37" fillId="17" borderId="214" xfId="7" applyNumberFormat="1" applyFont="1" applyFill="1" applyBorder="1" applyAlignment="1">
      <alignment horizontal="center" vertical="center"/>
    </xf>
    <xf numFmtId="178" fontId="68" fillId="13" borderId="80" xfId="7" applyNumberFormat="1" applyFont="1" applyFill="1" applyBorder="1" applyAlignment="1">
      <alignment horizontal="center" vertical="center"/>
    </xf>
    <xf numFmtId="178" fontId="38" fillId="12" borderId="6" xfId="7" applyNumberFormat="1" applyFont="1" applyFill="1" applyBorder="1" applyAlignment="1">
      <alignment horizontal="center" vertical="center" wrapText="1"/>
    </xf>
    <xf numFmtId="178" fontId="68" fillId="13" borderId="5" xfId="7" applyNumberFormat="1" applyFont="1" applyFill="1" applyBorder="1" applyAlignment="1">
      <alignment horizontal="center" vertical="center"/>
    </xf>
    <xf numFmtId="178" fontId="38" fillId="12" borderId="9" xfId="7" applyNumberFormat="1" applyFont="1" applyFill="1" applyBorder="1" applyAlignment="1">
      <alignment horizontal="center" vertical="center" wrapText="1"/>
    </xf>
    <xf numFmtId="0" fontId="90" fillId="17" borderId="187" xfId="0" applyFont="1" applyFill="1" applyBorder="1" applyAlignment="1">
      <alignment horizontal="center" vertical="center"/>
    </xf>
    <xf numFmtId="0" fontId="90" fillId="17" borderId="188" xfId="0" applyFont="1" applyFill="1" applyBorder="1" applyAlignment="1">
      <alignment horizontal="center" vertical="center"/>
    </xf>
    <xf numFmtId="169" fontId="70" fillId="0" borderId="22" xfId="0" applyNumberFormat="1" applyFont="1" applyBorder="1"/>
    <xf numFmtId="2" fontId="70" fillId="0" borderId="0" xfId="0" applyNumberFormat="1" applyFont="1"/>
    <xf numFmtId="0" fontId="83" fillId="0" borderId="130" xfId="0" applyFont="1" applyBorder="1" applyAlignment="1">
      <alignment horizontal="center" vertical="center"/>
    </xf>
    <xf numFmtId="0" fontId="91" fillId="17" borderId="135" xfId="0" applyFont="1" applyFill="1" applyBorder="1" applyAlignment="1">
      <alignment horizontal="left" vertical="center"/>
    </xf>
    <xf numFmtId="0" fontId="0" fillId="0" borderId="0" xfId="0" pivotButton="1"/>
    <xf numFmtId="49" fontId="0" fillId="17" borderId="22" xfId="0" applyNumberFormat="1" applyFill="1" applyBorder="1" applyAlignment="1">
      <alignment horizontal="center" wrapText="1"/>
    </xf>
    <xf numFmtId="0" fontId="83" fillId="17" borderId="130" xfId="0" applyFont="1" applyFill="1" applyBorder="1" applyAlignment="1">
      <alignment horizontal="center" vertical="center"/>
    </xf>
    <xf numFmtId="172" fontId="33" fillId="0" borderId="0" xfId="0" applyNumberFormat="1" applyFont="1"/>
    <xf numFmtId="0" fontId="0" fillId="0" borderId="154" xfId="0" applyBorder="1" applyAlignment="1">
      <alignment horizontal="center" vertical="center" wrapText="1"/>
    </xf>
    <xf numFmtId="169" fontId="11" fillId="0" borderId="0" xfId="0" applyNumberFormat="1" applyFont="1"/>
    <xf numFmtId="4" fontId="0" fillId="17" borderId="60" xfId="0" applyNumberFormat="1" applyFill="1" applyBorder="1"/>
    <xf numFmtId="4" fontId="0" fillId="17" borderId="22" xfId="0" applyNumberFormat="1" applyFill="1" applyBorder="1"/>
    <xf numFmtId="4" fontId="0" fillId="17" borderId="86" xfId="0" applyNumberFormat="1" applyFill="1" applyBorder="1"/>
    <xf numFmtId="3" fontId="0" fillId="17" borderId="60" xfId="0" applyNumberFormat="1" applyFill="1" applyBorder="1"/>
    <xf numFmtId="3" fontId="0" fillId="17" borderId="22" xfId="0" applyNumberFormat="1" applyFill="1" applyBorder="1"/>
    <xf numFmtId="3" fontId="0" fillId="17" borderId="115" xfId="0" applyNumberFormat="1" applyFont="1" applyFill="1" applyBorder="1" applyAlignment="1">
      <alignment horizontal="right" vertical="center" indent="1"/>
    </xf>
    <xf numFmtId="3" fontId="0" fillId="17" borderId="59" xfId="0" applyNumberFormat="1" applyFont="1" applyFill="1" applyBorder="1" applyAlignment="1">
      <alignment horizontal="right" vertical="center" indent="2"/>
    </xf>
    <xf numFmtId="3" fontId="0" fillId="17" borderId="86" xfId="0" applyNumberFormat="1" applyFont="1" applyFill="1" applyBorder="1" applyAlignment="1">
      <alignment horizontal="right" vertical="center" indent="1"/>
    </xf>
    <xf numFmtId="3" fontId="0" fillId="17" borderId="122" xfId="0" applyNumberFormat="1" applyFont="1" applyFill="1" applyBorder="1" applyAlignment="1">
      <alignment horizontal="right" vertical="center" indent="2"/>
    </xf>
    <xf numFmtId="3" fontId="5" fillId="17" borderId="126" xfId="4" applyNumberFormat="1" applyFont="1" applyFill="1" applyBorder="1" applyAlignment="1">
      <alignment horizontal="right" vertical="center" indent="1"/>
    </xf>
    <xf numFmtId="3" fontId="5" fillId="17" borderId="19" xfId="4" applyNumberFormat="1" applyFont="1" applyFill="1" applyBorder="1" applyAlignment="1">
      <alignment horizontal="right" vertical="center" indent="2"/>
    </xf>
    <xf numFmtId="3" fontId="5" fillId="17" borderId="114" xfId="4" applyNumberFormat="1" applyFont="1" applyFill="1" applyBorder="1" applyAlignment="1">
      <alignment horizontal="right" vertical="center" indent="1"/>
    </xf>
    <xf numFmtId="3" fontId="5" fillId="17" borderId="123" xfId="4" applyNumberFormat="1" applyFont="1" applyFill="1" applyBorder="1" applyAlignment="1">
      <alignment horizontal="right" vertical="center" indent="2"/>
    </xf>
    <xf numFmtId="3" fontId="0" fillId="17" borderId="126" xfId="0" applyNumberFormat="1" applyFont="1" applyFill="1" applyBorder="1" applyAlignment="1">
      <alignment horizontal="right" vertical="center" indent="1"/>
    </xf>
    <xf numFmtId="3" fontId="0" fillId="17" borderId="19" xfId="0" applyNumberFormat="1" applyFont="1" applyFill="1" applyBorder="1" applyAlignment="1">
      <alignment horizontal="right" vertical="center" indent="2"/>
    </xf>
    <xf numFmtId="3" fontId="11" fillId="17" borderId="80" xfId="0" applyNumberFormat="1" applyFont="1" applyFill="1" applyBorder="1" applyAlignment="1">
      <alignment horizontal="right" vertical="center" indent="2"/>
    </xf>
    <xf numFmtId="3" fontId="0" fillId="17" borderId="20" xfId="0" applyNumberFormat="1" applyFill="1" applyBorder="1" applyAlignment="1">
      <alignment horizontal="right" vertical="center" indent="2"/>
    </xf>
    <xf numFmtId="3" fontId="0" fillId="17" borderId="126" xfId="0" applyNumberFormat="1" applyFill="1" applyBorder="1" applyAlignment="1">
      <alignment horizontal="right" vertical="center" indent="2"/>
    </xf>
    <xf numFmtId="3" fontId="5" fillId="17" borderId="212" xfId="4" applyNumberFormat="1" applyFont="1" applyFill="1" applyBorder="1" applyAlignment="1">
      <alignment horizontal="right" vertical="center" indent="2"/>
    </xf>
    <xf numFmtId="3" fontId="5" fillId="17" borderId="148" xfId="4" applyNumberFormat="1" applyFont="1" applyFill="1" applyBorder="1" applyAlignment="1">
      <alignment horizontal="right" vertical="center" indent="2"/>
    </xf>
    <xf numFmtId="3" fontId="5" fillId="17" borderId="64" xfId="4" applyNumberFormat="1" applyFont="1" applyFill="1" applyBorder="1" applyAlignment="1">
      <alignment horizontal="right" vertical="center" indent="2"/>
    </xf>
    <xf numFmtId="3" fontId="5" fillId="17" borderId="65" xfId="4" applyNumberFormat="1" applyFont="1" applyFill="1" applyBorder="1" applyAlignment="1">
      <alignment horizontal="right" vertical="center" indent="2"/>
    </xf>
    <xf numFmtId="3" fontId="5" fillId="17" borderId="66" xfId="4" applyNumberFormat="1" applyFont="1" applyFill="1" applyBorder="1" applyAlignment="1">
      <alignment horizontal="right" vertical="center" indent="2"/>
    </xf>
    <xf numFmtId="3" fontId="0" fillId="17" borderId="124" xfId="0" applyNumberFormat="1" applyFont="1" applyFill="1" applyBorder="1" applyAlignment="1">
      <alignment horizontal="right" vertical="center" indent="1"/>
    </xf>
    <xf numFmtId="3" fontId="0" fillId="17" borderId="21" xfId="0" applyNumberFormat="1" applyFont="1" applyFill="1" applyBorder="1" applyAlignment="1">
      <alignment horizontal="right" vertical="center" indent="2"/>
    </xf>
    <xf numFmtId="3" fontId="5" fillId="17" borderId="122" xfId="4" applyNumberFormat="1" applyFont="1" applyFill="1" applyBorder="1" applyAlignment="1">
      <alignment horizontal="right" vertical="center" indent="2"/>
    </xf>
    <xf numFmtId="3" fontId="5" fillId="17" borderId="154" xfId="4" applyNumberFormat="1" applyFont="1" applyFill="1" applyBorder="1" applyAlignment="1">
      <alignment horizontal="right" vertical="center" indent="2"/>
    </xf>
    <xf numFmtId="3" fontId="5" fillId="17" borderId="116" xfId="4" applyNumberFormat="1" applyFont="1" applyFill="1" applyBorder="1" applyAlignment="1">
      <alignment horizontal="right" vertical="center" indent="2"/>
    </xf>
    <xf numFmtId="3" fontId="5" fillId="17" borderId="86" xfId="4" applyNumberFormat="1" applyFont="1" applyFill="1" applyBorder="1" applyAlignment="1">
      <alignment horizontal="right" vertical="center" indent="2"/>
    </xf>
    <xf numFmtId="3" fontId="5" fillId="17" borderId="39" xfId="4" applyNumberFormat="1" applyFont="1" applyFill="1" applyBorder="1" applyAlignment="1">
      <alignment horizontal="right" vertical="center" indent="2"/>
    </xf>
    <xf numFmtId="0" fontId="0" fillId="0" borderId="154" xfId="0" applyBorder="1" applyAlignment="1">
      <alignment horizontal="center" vertical="center" wrapText="1"/>
    </xf>
    <xf numFmtId="0" fontId="0" fillId="17" borderId="154" xfId="0" applyFont="1" applyFill="1" applyBorder="1" applyAlignment="1">
      <alignment horizontal="left" vertical="center" wrapText="1"/>
    </xf>
    <xf numFmtId="179" fontId="0" fillId="17" borderId="60" xfId="0" applyNumberFormat="1" applyFill="1" applyBorder="1" applyAlignment="1">
      <alignment horizontal="right" vertical="center" indent="2"/>
    </xf>
    <xf numFmtId="179" fontId="0" fillId="17" borderId="86" xfId="0" applyNumberFormat="1" applyFill="1" applyBorder="1" applyAlignment="1">
      <alignment horizontal="right" vertical="center" indent="2"/>
    </xf>
    <xf numFmtId="179" fontId="0" fillId="17" borderId="113" xfId="0" applyNumberFormat="1" applyFill="1" applyBorder="1" applyAlignment="1">
      <alignment horizontal="right" vertical="center" indent="2"/>
    </xf>
    <xf numFmtId="179" fontId="0" fillId="17" borderId="22" xfId="0" applyNumberFormat="1" applyFill="1" applyBorder="1" applyAlignment="1">
      <alignment horizontal="right" vertical="center" indent="2"/>
    </xf>
    <xf numFmtId="179" fontId="0" fillId="17" borderId="126" xfId="0" applyNumberFormat="1" applyFill="1" applyBorder="1" applyAlignment="1">
      <alignment horizontal="center"/>
    </xf>
    <xf numFmtId="179" fontId="50" fillId="17" borderId="126" xfId="0" applyNumberFormat="1" applyFont="1" applyFill="1" applyBorder="1" applyAlignment="1">
      <alignment horizontal="center"/>
    </xf>
    <xf numFmtId="179" fontId="5" fillId="17" borderId="65" xfId="4" applyNumberFormat="1" applyFill="1" applyBorder="1" applyAlignment="1">
      <alignment horizontal="right" vertical="center" indent="2"/>
    </xf>
    <xf numFmtId="179" fontId="0" fillId="17" borderId="124" xfId="0" applyNumberFormat="1" applyFill="1" applyBorder="1" applyAlignment="1">
      <alignment horizontal="right" vertical="center" indent="2"/>
    </xf>
    <xf numFmtId="179" fontId="5" fillId="17" borderId="86" xfId="4" applyNumberFormat="1" applyFill="1" applyBorder="1" applyAlignment="1">
      <alignment horizontal="right" vertical="center" indent="2"/>
    </xf>
    <xf numFmtId="179" fontId="0" fillId="17" borderId="32" xfId="0" applyNumberFormat="1" applyFill="1" applyBorder="1" applyAlignment="1">
      <alignment horizontal="right" vertical="center" indent="2"/>
    </xf>
    <xf numFmtId="0" fontId="0" fillId="0" borderId="154" xfId="0" applyBorder="1" applyAlignment="1">
      <alignment horizontal="center" vertical="center" wrapText="1"/>
    </xf>
    <xf numFmtId="3" fontId="11" fillId="17" borderId="65" xfId="0" applyNumberFormat="1" applyFont="1" applyFill="1" applyBorder="1" applyAlignment="1">
      <alignment horizontal="right" vertical="center" indent="1"/>
    </xf>
    <xf numFmtId="3" fontId="0" fillId="17" borderId="65" xfId="0" applyNumberFormat="1" applyFill="1" applyBorder="1" applyAlignment="1">
      <alignment horizontal="right" vertical="center" indent="1"/>
    </xf>
    <xf numFmtId="3" fontId="0" fillId="17" borderId="66" xfId="0" applyNumberFormat="1" applyFill="1" applyBorder="1" applyAlignment="1">
      <alignment horizontal="right" vertical="center" indent="2"/>
    </xf>
    <xf numFmtId="3" fontId="0" fillId="17" borderId="115" xfId="0" applyNumberFormat="1" applyFill="1" applyBorder="1" applyAlignment="1">
      <alignment horizontal="right" vertical="center" indent="1"/>
    </xf>
    <xf numFmtId="179" fontId="0" fillId="0" borderId="0" xfId="0" applyNumberFormat="1" applyAlignment="1">
      <alignment horizontal="right"/>
    </xf>
    <xf numFmtId="0" fontId="34" fillId="0" borderId="0" xfId="0" applyFont="1" applyAlignment="1">
      <alignment wrapText="1"/>
    </xf>
    <xf numFmtId="4" fontId="34" fillId="0" borderId="0" xfId="0" applyNumberFormat="1" applyFont="1" applyAlignment="1">
      <alignment horizontal="right" wrapText="1"/>
    </xf>
    <xf numFmtId="3" fontId="34" fillId="0" borderId="0" xfId="0" applyNumberFormat="1" applyFont="1" applyAlignment="1">
      <alignment horizontal="right" wrapText="1"/>
    </xf>
    <xf numFmtId="0" fontId="34" fillId="0" borderId="0" xfId="0" applyFont="1" applyAlignment="1">
      <alignment horizontal="right" wrapText="1"/>
    </xf>
    <xf numFmtId="4" fontId="33" fillId="0" borderId="0" xfId="0" applyNumberFormat="1" applyFont="1"/>
    <xf numFmtId="3" fontId="92" fillId="0" borderId="0" xfId="0" applyNumberFormat="1" applyFont="1"/>
    <xf numFmtId="3" fontId="34" fillId="0" borderId="0" xfId="0" applyNumberFormat="1" applyFont="1"/>
    <xf numFmtId="4" fontId="34" fillId="0" borderId="0" xfId="0" applyNumberFormat="1" applyFont="1"/>
    <xf numFmtId="0" fontId="93" fillId="0" borderId="0" xfId="0" applyFont="1"/>
    <xf numFmtId="4" fontId="93" fillId="0" borderId="0" xfId="0" applyNumberFormat="1" applyFont="1"/>
    <xf numFmtId="3" fontId="93" fillId="0" borderId="0" xfId="0" applyNumberFormat="1" applyFont="1"/>
    <xf numFmtId="180" fontId="0" fillId="17" borderId="22" xfId="0" applyNumberFormat="1" applyFill="1" applyBorder="1" applyAlignment="1">
      <alignment horizontal="right" vertical="center" indent="2"/>
    </xf>
    <xf numFmtId="180" fontId="0" fillId="17" borderId="126" xfId="0" applyNumberFormat="1" applyFill="1" applyBorder="1" applyAlignment="1">
      <alignment horizontal="center"/>
    </xf>
    <xf numFmtId="180" fontId="50" fillId="17" borderId="126" xfId="0" applyNumberFormat="1" applyFont="1" applyFill="1" applyBorder="1" applyAlignment="1">
      <alignment horizontal="center"/>
    </xf>
    <xf numFmtId="0" fontId="0" fillId="0" borderId="0" xfId="0"/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/>
    </xf>
    <xf numFmtId="9" fontId="7" fillId="0" borderId="0" xfId="0" applyNumberFormat="1" applyFont="1" applyAlignment="1">
      <alignment vertical="top"/>
    </xf>
    <xf numFmtId="3" fontId="0" fillId="0" borderId="0" xfId="0" applyNumberFormat="1" applyFont="1" applyAlignment="1">
      <alignment horizontal="right"/>
    </xf>
    <xf numFmtId="0" fontId="0" fillId="0" borderId="0" xfId="0"/>
    <xf numFmtId="0" fontId="0" fillId="0" borderId="0" xfId="0" applyAlignment="1">
      <alignment horizontal="center"/>
    </xf>
    <xf numFmtId="10" fontId="0" fillId="0" borderId="0" xfId="0" applyNumberFormat="1" applyAlignment="1">
      <alignment horizontal="right"/>
    </xf>
    <xf numFmtId="3" fontId="11" fillId="0" borderId="0" xfId="0" applyNumberFormat="1" applyFont="1" applyAlignment="1">
      <alignment horizontal="right"/>
    </xf>
    <xf numFmtId="0" fontId="23" fillId="0" borderId="23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4" fillId="5" borderId="53" xfId="3" applyFont="1" applyBorder="1" applyAlignment="1">
      <alignment horizontal="center" vertical="center" wrapText="1"/>
    </xf>
    <xf numFmtId="0" fontId="24" fillId="5" borderId="56" xfId="3" applyFont="1" applyBorder="1" applyAlignment="1">
      <alignment horizontal="center" vertical="center" wrapText="1"/>
    </xf>
    <xf numFmtId="0" fontId="26" fillId="3" borderId="67" xfId="1" applyFont="1" applyBorder="1" applyAlignment="1">
      <alignment horizontal="center" vertical="center" wrapText="1"/>
    </xf>
    <xf numFmtId="0" fontId="26" fillId="3" borderId="68" xfId="1" applyFont="1" applyBorder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20" fillId="8" borderId="62" xfId="0" applyFont="1" applyFill="1" applyBorder="1" applyAlignment="1">
      <alignment horizontal="right" vertical="center" wrapText="1"/>
    </xf>
    <xf numFmtId="0" fontId="20" fillId="8" borderId="34" xfId="0" applyFont="1" applyFill="1" applyBorder="1" applyAlignment="1">
      <alignment horizontal="right" vertical="center" wrapText="1"/>
    </xf>
    <xf numFmtId="0" fontId="21" fillId="17" borderId="22" xfId="0" applyFont="1" applyFill="1" applyBorder="1" applyAlignment="1">
      <alignment horizontal="left" vertical="center" wrapText="1"/>
    </xf>
    <xf numFmtId="0" fontId="21" fillId="17" borderId="38" xfId="0" applyFont="1" applyFill="1" applyBorder="1" applyAlignment="1">
      <alignment horizontal="left" vertical="center" wrapText="1"/>
    </xf>
    <xf numFmtId="0" fontId="20" fillId="8" borderId="63" xfId="0" applyFont="1" applyFill="1" applyBorder="1" applyAlignment="1">
      <alignment horizontal="right" vertical="center" wrapText="1"/>
    </xf>
    <xf numFmtId="0" fontId="20" fillId="8" borderId="64" xfId="0" applyFont="1" applyFill="1" applyBorder="1" applyAlignment="1">
      <alignment horizontal="right" vertical="center" wrapText="1"/>
    </xf>
    <xf numFmtId="0" fontId="21" fillId="17" borderId="65" xfId="0" applyFont="1" applyFill="1" applyBorder="1" applyAlignment="1">
      <alignment horizontal="left" vertical="center"/>
    </xf>
    <xf numFmtId="0" fontId="21" fillId="17" borderId="66" xfId="0" applyFont="1" applyFill="1" applyBorder="1" applyAlignment="1">
      <alignment horizontal="left" vertical="center"/>
    </xf>
    <xf numFmtId="0" fontId="22" fillId="0" borderId="0" xfId="0" applyFont="1" applyAlignment="1">
      <alignment horizontal="center"/>
    </xf>
    <xf numFmtId="0" fontId="23" fillId="8" borderId="14" xfId="0" applyFont="1" applyFill="1" applyBorder="1" applyAlignment="1">
      <alignment horizontal="center" vertical="center" wrapText="1"/>
    </xf>
    <xf numFmtId="0" fontId="23" fillId="8" borderId="13" xfId="0" applyFont="1" applyFill="1" applyBorder="1" applyAlignment="1">
      <alignment horizontal="center" vertical="center" wrapText="1"/>
    </xf>
    <xf numFmtId="0" fontId="23" fillId="8" borderId="15" xfId="0" applyFont="1" applyFill="1" applyBorder="1" applyAlignment="1">
      <alignment horizontal="center" vertical="center" wrapText="1"/>
    </xf>
    <xf numFmtId="0" fontId="23" fillId="8" borderId="5" xfId="0" applyFont="1" applyFill="1" applyBorder="1" applyAlignment="1">
      <alignment horizontal="center" vertical="center" wrapText="1"/>
    </xf>
    <xf numFmtId="0" fontId="23" fillId="0" borderId="26" xfId="0" applyFont="1" applyBorder="1" applyAlignment="1">
      <alignment horizontal="center" vertical="center" wrapText="1"/>
    </xf>
    <xf numFmtId="0" fontId="25" fillId="4" borderId="52" xfId="2" applyFont="1" applyBorder="1" applyAlignment="1">
      <alignment horizontal="center" vertical="center" wrapText="1"/>
    </xf>
    <xf numFmtId="0" fontId="25" fillId="4" borderId="44" xfId="2" applyFont="1" applyBorder="1" applyAlignment="1">
      <alignment horizontal="center" vertical="center" wrapText="1"/>
    </xf>
    <xf numFmtId="0" fontId="20" fillId="17" borderId="22" xfId="0" applyFont="1" applyFill="1" applyBorder="1" applyAlignment="1">
      <alignment horizontal="center" vertical="center" wrapText="1"/>
    </xf>
    <xf numFmtId="0" fontId="20" fillId="17" borderId="38" xfId="0" applyFont="1" applyFill="1" applyBorder="1" applyAlignment="1">
      <alignment horizontal="center" vertical="center" wrapText="1"/>
    </xf>
    <xf numFmtId="49" fontId="20" fillId="17" borderId="22" xfId="0" applyNumberFormat="1" applyFont="1" applyFill="1" applyBorder="1" applyAlignment="1">
      <alignment horizontal="center" vertical="center" wrapText="1"/>
    </xf>
    <xf numFmtId="49" fontId="20" fillId="17" borderId="38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wrapText="1"/>
    </xf>
    <xf numFmtId="0" fontId="28" fillId="0" borderId="0" xfId="0" applyFont="1" applyAlignment="1">
      <alignment horizontal="center" wrapText="1"/>
    </xf>
    <xf numFmtId="0" fontId="20" fillId="8" borderId="58" xfId="0" applyFont="1" applyFill="1" applyBorder="1" applyAlignment="1">
      <alignment horizontal="right" vertical="center" wrapText="1"/>
    </xf>
    <xf numFmtId="0" fontId="20" fillId="8" borderId="59" xfId="0" applyFont="1" applyFill="1" applyBorder="1" applyAlignment="1">
      <alignment horizontal="right" vertical="center" wrapText="1"/>
    </xf>
    <xf numFmtId="0" fontId="6" fillId="17" borderId="60" xfId="0" applyFont="1" applyFill="1" applyBorder="1" applyAlignment="1">
      <alignment horizontal="center" vertical="center" wrapText="1"/>
    </xf>
    <xf numFmtId="0" fontId="6" fillId="17" borderId="61" xfId="0" applyFont="1" applyFill="1" applyBorder="1" applyAlignment="1">
      <alignment horizontal="center" vertical="center" wrapText="1"/>
    </xf>
    <xf numFmtId="0" fontId="36" fillId="19" borderId="21" xfId="0" applyFont="1" applyFill="1" applyBorder="1" applyAlignment="1">
      <alignment horizontal="center" vertical="center"/>
    </xf>
    <xf numFmtId="0" fontId="11" fillId="0" borderId="125" xfId="0" applyFont="1" applyBorder="1" applyAlignment="1">
      <alignment horizontal="center"/>
    </xf>
    <xf numFmtId="0" fontId="11" fillId="0" borderId="34" xfId="0" applyFont="1" applyBorder="1" applyAlignment="1">
      <alignment horizontal="center"/>
    </xf>
    <xf numFmtId="0" fontId="11" fillId="0" borderId="113" xfId="0" applyFont="1" applyBorder="1" applyAlignment="1">
      <alignment horizontal="center"/>
    </xf>
    <xf numFmtId="0" fontId="0" fillId="6" borderId="25" xfId="0" applyFill="1" applyBorder="1" applyAlignment="1">
      <alignment horizontal="center" vertical="top" wrapText="1"/>
    </xf>
    <xf numFmtId="0" fontId="0" fillId="6" borderId="5" xfId="0" applyFill="1" applyBorder="1" applyAlignment="1">
      <alignment horizontal="center" vertical="top" wrapText="1"/>
    </xf>
    <xf numFmtId="0" fontId="12" fillId="6" borderId="28" xfId="0" applyFont="1" applyFill="1" applyBorder="1" applyAlignment="1">
      <alignment horizontal="center" vertical="top" wrapText="1"/>
    </xf>
    <xf numFmtId="0" fontId="12" fillId="6" borderId="29" xfId="0" applyFont="1" applyFill="1" applyBorder="1" applyAlignment="1">
      <alignment horizontal="center" vertical="top" wrapText="1"/>
    </xf>
    <xf numFmtId="0" fontId="12" fillId="6" borderId="30" xfId="0" applyFont="1" applyFill="1" applyBorder="1" applyAlignment="1">
      <alignment horizontal="center" vertical="top" wrapText="1"/>
    </xf>
    <xf numFmtId="0" fontId="12" fillId="6" borderId="14" xfId="0" applyFont="1" applyFill="1" applyBorder="1" applyAlignment="1">
      <alignment horizontal="center" vertical="top" wrapText="1"/>
    </xf>
    <xf numFmtId="0" fontId="12" fillId="6" borderId="23" xfId="0" applyFont="1" applyFill="1" applyBorder="1" applyAlignment="1">
      <alignment horizontal="center" vertical="top" wrapText="1"/>
    </xf>
    <xf numFmtId="0" fontId="12" fillId="6" borderId="13" xfId="0" applyFont="1" applyFill="1" applyBorder="1" applyAlignment="1">
      <alignment horizontal="center" vertical="top" wrapText="1"/>
    </xf>
    <xf numFmtId="0" fontId="0" fillId="6" borderId="31" xfId="0" applyFill="1" applyBorder="1" applyAlignment="1">
      <alignment horizontal="center" vertical="top" wrapText="1"/>
    </xf>
    <xf numFmtId="0" fontId="0" fillId="6" borderId="13" xfId="0" applyFill="1" applyBorder="1" applyAlignment="1">
      <alignment horizontal="center" vertical="top" wrapText="1"/>
    </xf>
    <xf numFmtId="0" fontId="11" fillId="0" borderId="22" xfId="0" applyFont="1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11" fillId="0" borderId="125" xfId="0" applyFont="1" applyBorder="1" applyAlignment="1">
      <alignment horizontal="center" wrapText="1"/>
    </xf>
    <xf numFmtId="0" fontId="0" fillId="0" borderId="113" xfId="0" applyBorder="1" applyAlignment="1">
      <alignment horizontal="center" wrapText="1"/>
    </xf>
    <xf numFmtId="0" fontId="11" fillId="19" borderId="125" xfId="0" applyFont="1" applyFill="1" applyBorder="1" applyAlignment="1">
      <alignment horizontal="left" wrapText="1"/>
    </xf>
    <xf numFmtId="0" fontId="11" fillId="19" borderId="34" xfId="0" applyFont="1" applyFill="1" applyBorder="1" applyAlignment="1">
      <alignment horizontal="left" wrapText="1"/>
    </xf>
    <xf numFmtId="0" fontId="11" fillId="19" borderId="113" xfId="0" applyFont="1" applyFill="1" applyBorder="1" applyAlignment="1">
      <alignment horizontal="left" wrapText="1"/>
    </xf>
    <xf numFmtId="0" fontId="11" fillId="19" borderId="86" xfId="0" applyFont="1" applyFill="1" applyBorder="1" applyAlignment="1">
      <alignment horizontal="center" vertical="top" wrapText="1"/>
    </xf>
    <xf numFmtId="0" fontId="11" fillId="19" borderId="126" xfId="0" applyFont="1" applyFill="1" applyBorder="1" applyAlignment="1">
      <alignment horizontal="center" vertical="top" wrapText="1"/>
    </xf>
    <xf numFmtId="0" fontId="11" fillId="19" borderId="114" xfId="0" applyFont="1" applyFill="1" applyBorder="1" applyAlignment="1">
      <alignment horizontal="center" vertical="top" wrapText="1"/>
    </xf>
    <xf numFmtId="0" fontId="11" fillId="10" borderId="125" xfId="0" applyFont="1" applyFill="1" applyBorder="1" applyAlignment="1">
      <alignment horizontal="center" wrapText="1"/>
    </xf>
    <xf numFmtId="0" fontId="11" fillId="10" borderId="113" xfId="0" applyFont="1" applyFill="1" applyBorder="1" applyAlignment="1">
      <alignment horizontal="center" wrapText="1"/>
    </xf>
    <xf numFmtId="0" fontId="11" fillId="10" borderId="125" xfId="0" applyFont="1" applyFill="1" applyBorder="1" applyAlignment="1">
      <alignment horizontal="center" vertical="center" wrapText="1"/>
    </xf>
    <xf numFmtId="0" fontId="11" fillId="10" borderId="113" xfId="0" applyFont="1" applyFill="1" applyBorder="1" applyAlignment="1">
      <alignment horizontal="center" vertical="center" wrapText="1"/>
    </xf>
    <xf numFmtId="0" fontId="12" fillId="6" borderId="24" xfId="0" applyFont="1" applyFill="1" applyBorder="1" applyAlignment="1">
      <alignment horizontal="center" vertical="top" wrapText="1"/>
    </xf>
    <xf numFmtId="0" fontId="12" fillId="6" borderId="0" xfId="0" applyFont="1" applyFill="1" applyAlignment="1">
      <alignment horizontal="center" vertical="top" wrapText="1"/>
    </xf>
    <xf numFmtId="0" fontId="12" fillId="6" borderId="20" xfId="0" applyFont="1" applyFill="1" applyBorder="1" applyAlignment="1">
      <alignment horizontal="center" vertical="top" wrapText="1"/>
    </xf>
    <xf numFmtId="0" fontId="12" fillId="6" borderId="19" xfId="0" applyFont="1" applyFill="1" applyBorder="1" applyAlignment="1">
      <alignment horizontal="center" vertical="top" wrapText="1"/>
    </xf>
    <xf numFmtId="0" fontId="12" fillId="6" borderId="6" xfId="0" applyFont="1" applyFill="1" applyBorder="1" applyAlignment="1">
      <alignment horizontal="center" vertical="top" wrapText="1"/>
    </xf>
    <xf numFmtId="0" fontId="12" fillId="6" borderId="18" xfId="0" applyFont="1" applyFill="1" applyBorder="1" applyAlignment="1">
      <alignment horizontal="center" vertical="top" wrapText="1"/>
    </xf>
    <xf numFmtId="0" fontId="12" fillId="6" borderId="63" xfId="0" applyFont="1" applyFill="1" applyBorder="1" applyAlignment="1">
      <alignment horizontal="center" vertical="top" wrapText="1"/>
    </xf>
    <xf numFmtId="0" fontId="12" fillId="6" borderId="175" xfId="0" applyFont="1" applyFill="1" applyBorder="1" applyAlignment="1">
      <alignment horizontal="center" vertical="top" wrapText="1"/>
    </xf>
    <xf numFmtId="0" fontId="12" fillId="6" borderId="176" xfId="0" applyFont="1" applyFill="1" applyBorder="1" applyAlignment="1">
      <alignment horizontal="center" vertical="top" wrapText="1"/>
    </xf>
    <xf numFmtId="0" fontId="11" fillId="0" borderId="14" xfId="0" applyFont="1" applyBorder="1" applyAlignment="1">
      <alignment horizontal="left" vertical="top" wrapText="1"/>
    </xf>
    <xf numFmtId="0" fontId="11" fillId="0" borderId="24" xfId="0" applyFont="1" applyBorder="1" applyAlignment="1">
      <alignment horizontal="left" vertical="top" wrapText="1"/>
    </xf>
    <xf numFmtId="0" fontId="11" fillId="0" borderId="15" xfId="0" applyFont="1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26" xfId="0" applyBorder="1" applyAlignment="1">
      <alignment horizontal="left" vertical="top" wrapText="1"/>
    </xf>
    <xf numFmtId="0" fontId="0" fillId="17" borderId="0" xfId="0" applyFill="1" applyAlignment="1">
      <alignment horizontal="center" vertical="center" wrapText="1"/>
    </xf>
    <xf numFmtId="0" fontId="0" fillId="17" borderId="20" xfId="0" applyFill="1" applyBorder="1" applyAlignment="1">
      <alignment horizontal="center" vertical="center" wrapText="1"/>
    </xf>
    <xf numFmtId="0" fontId="0" fillId="18" borderId="14" xfId="0" applyFill="1" applyBorder="1" applyAlignment="1">
      <alignment horizontal="center" vertical="center" wrapText="1"/>
    </xf>
    <xf numFmtId="0" fontId="0" fillId="18" borderId="23" xfId="0" applyFill="1" applyBorder="1" applyAlignment="1">
      <alignment horizontal="center" vertical="center" wrapText="1"/>
    </xf>
    <xf numFmtId="0" fontId="0" fillId="18" borderId="13" xfId="0" applyFill="1" applyBorder="1" applyAlignment="1">
      <alignment horizontal="center" vertical="center" wrapText="1"/>
    </xf>
    <xf numFmtId="0" fontId="0" fillId="18" borderId="24" xfId="0" applyFill="1" applyBorder="1" applyAlignment="1">
      <alignment horizontal="center" vertical="center" wrapText="1"/>
    </xf>
    <xf numFmtId="0" fontId="0" fillId="18" borderId="0" xfId="0" applyFill="1" applyAlignment="1">
      <alignment horizontal="center" vertical="center" wrapText="1"/>
    </xf>
    <xf numFmtId="0" fontId="0" fillId="18" borderId="20" xfId="0" applyFill="1" applyBorder="1" applyAlignment="1">
      <alignment horizontal="center" vertical="center" wrapText="1"/>
    </xf>
    <xf numFmtId="0" fontId="0" fillId="18" borderId="19" xfId="0" applyFill="1" applyBorder="1" applyAlignment="1">
      <alignment horizontal="center" vertical="center" wrapText="1"/>
    </xf>
    <xf numFmtId="0" fontId="0" fillId="17" borderId="177" xfId="0" applyFill="1" applyBorder="1" applyAlignment="1">
      <alignment horizontal="left" vertical="center" wrapText="1"/>
    </xf>
    <xf numFmtId="0" fontId="0" fillId="17" borderId="18" xfId="0" applyFill="1" applyBorder="1" applyAlignment="1">
      <alignment horizontal="left" vertical="center" wrapText="1"/>
    </xf>
    <xf numFmtId="0" fontId="0" fillId="17" borderId="116" xfId="0" applyFill="1" applyBorder="1" applyAlignment="1">
      <alignment horizontal="left" vertical="center" wrapText="1"/>
    </xf>
    <xf numFmtId="0" fontId="0" fillId="17" borderId="122" xfId="0" applyFill="1" applyBorder="1" applyAlignment="1">
      <alignment horizontal="left" vertical="center" wrapText="1"/>
    </xf>
    <xf numFmtId="0" fontId="0" fillId="17" borderId="19" xfId="0" applyFill="1" applyBorder="1" applyAlignment="1">
      <alignment horizontal="center" vertical="center" wrapText="1"/>
    </xf>
    <xf numFmtId="0" fontId="11" fillId="7" borderId="24" xfId="0" applyFont="1" applyFill="1" applyBorder="1" applyAlignment="1">
      <alignment horizontal="left" vertical="top" wrapText="1"/>
    </xf>
    <xf numFmtId="0" fontId="11" fillId="7" borderId="15" xfId="0" applyFont="1" applyFill="1" applyBorder="1" applyAlignment="1">
      <alignment horizontal="left" vertical="top" wrapText="1"/>
    </xf>
    <xf numFmtId="0" fontId="0" fillId="7" borderId="0" xfId="0" applyFill="1" applyAlignment="1">
      <alignment horizontal="left" vertical="top" wrapText="1"/>
    </xf>
    <xf numFmtId="0" fontId="0" fillId="7" borderId="26" xfId="0" applyFill="1" applyBorder="1" applyAlignment="1">
      <alignment horizontal="left" vertical="top" wrapText="1"/>
    </xf>
    <xf numFmtId="0" fontId="0" fillId="17" borderId="33" xfId="0" applyFill="1" applyBorder="1" applyAlignment="1">
      <alignment horizontal="left" vertical="center" wrapText="1"/>
    </xf>
    <xf numFmtId="0" fontId="0" fillId="18" borderId="6" xfId="0" applyFill="1" applyBorder="1" applyAlignment="1">
      <alignment horizontal="center" vertical="center" wrapText="1"/>
    </xf>
    <xf numFmtId="0" fontId="33" fillId="0" borderId="0" xfId="0" applyFont="1" applyAlignment="1">
      <alignment horizontal="center"/>
    </xf>
    <xf numFmtId="0" fontId="36" fillId="0" borderId="0" xfId="0" applyFont="1" applyAlignment="1">
      <alignment horizontal="left" vertical="top" wrapText="1"/>
    </xf>
    <xf numFmtId="0" fontId="30" fillId="0" borderId="26" xfId="0" applyFont="1" applyBorder="1" applyAlignment="1">
      <alignment horizontal="left"/>
    </xf>
    <xf numFmtId="0" fontId="30" fillId="0" borderId="27" xfId="0" applyFont="1" applyBorder="1" applyAlignment="1">
      <alignment horizontal="left"/>
    </xf>
    <xf numFmtId="0" fontId="29" fillId="11" borderId="28" xfId="0" applyFont="1" applyFill="1" applyBorder="1" applyAlignment="1">
      <alignment horizontal="left"/>
    </xf>
    <xf numFmtId="0" fontId="29" fillId="11" borderId="29" xfId="0" applyFont="1" applyFill="1" applyBorder="1" applyAlignment="1">
      <alignment horizontal="left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29" fillId="11" borderId="0" xfId="0" applyFont="1" applyFill="1" applyAlignment="1">
      <alignment horizontal="left"/>
    </xf>
    <xf numFmtId="0" fontId="29" fillId="10" borderId="28" xfId="0" applyFont="1" applyFill="1" applyBorder="1" applyAlignment="1">
      <alignment horizontal="left"/>
    </xf>
    <xf numFmtId="0" fontId="29" fillId="10" borderId="29" xfId="0" applyFont="1" applyFill="1" applyBorder="1" applyAlignment="1">
      <alignment horizontal="left"/>
    </xf>
    <xf numFmtId="0" fontId="0" fillId="0" borderId="6" xfId="0" applyBorder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29" fillId="10" borderId="0" xfId="0" applyFont="1" applyFill="1" applyAlignment="1">
      <alignment horizontal="left"/>
    </xf>
    <xf numFmtId="0" fontId="4" fillId="26" borderId="8" xfId="0" applyFont="1" applyFill="1" applyBorder="1" applyAlignment="1">
      <alignment horizontal="center" vertical="top"/>
    </xf>
    <xf numFmtId="0" fontId="4" fillId="26" borderId="80" xfId="0" applyFont="1" applyFill="1" applyBorder="1" applyAlignment="1">
      <alignment horizontal="center" vertical="top"/>
    </xf>
    <xf numFmtId="0" fontId="8" fillId="26" borderId="8" xfId="0" applyFont="1" applyFill="1" applyBorder="1" applyAlignment="1">
      <alignment horizontal="left" vertical="top" wrapText="1"/>
    </xf>
    <xf numFmtId="0" fontId="8" fillId="26" borderId="80" xfId="0" applyFont="1" applyFill="1" applyBorder="1" applyAlignment="1">
      <alignment horizontal="left" vertical="top" wrapText="1"/>
    </xf>
    <xf numFmtId="0" fontId="4" fillId="26" borderId="8" xfId="0" applyFont="1" applyFill="1" applyBorder="1" applyAlignment="1">
      <alignment vertical="top" wrapText="1"/>
    </xf>
    <xf numFmtId="0" fontId="4" fillId="26" borderId="80" xfId="0" applyFont="1" applyFill="1" applyBorder="1" applyAlignment="1">
      <alignment vertical="top" wrapText="1"/>
    </xf>
    <xf numFmtId="2" fontId="6" fillId="5" borderId="91" xfId="3" applyNumberFormat="1" applyFont="1" applyBorder="1" applyAlignment="1">
      <alignment horizontal="right" vertical="top" wrapText="1"/>
    </xf>
    <xf numFmtId="2" fontId="6" fillId="5" borderId="92" xfId="3" applyNumberFormat="1" applyFont="1" applyBorder="1" applyAlignment="1">
      <alignment horizontal="right" vertical="top" wrapText="1"/>
    </xf>
    <xf numFmtId="0" fontId="8" fillId="26" borderId="7" xfId="0" applyFont="1" applyFill="1" applyBorder="1" applyAlignment="1">
      <alignment horizontal="left" vertical="top" wrapText="1"/>
    </xf>
    <xf numFmtId="0" fontId="8" fillId="26" borderId="4" xfId="0" applyFont="1" applyFill="1" applyBorder="1" applyAlignment="1">
      <alignment horizontal="left" vertical="top" wrapText="1"/>
    </xf>
    <xf numFmtId="165" fontId="51" fillId="3" borderId="8" xfId="4" applyNumberFormat="1" applyFont="1" applyFill="1" applyBorder="1" applyAlignment="1">
      <alignment horizontal="right" vertical="top" wrapText="1"/>
    </xf>
    <xf numFmtId="165" fontId="51" fillId="3" borderId="9" xfId="4" applyNumberFormat="1" applyFont="1" applyFill="1" applyBorder="1" applyAlignment="1">
      <alignment horizontal="right" vertical="top" wrapText="1"/>
    </xf>
    <xf numFmtId="165" fontId="51" fillId="3" borderId="8" xfId="4" applyNumberFormat="1" applyFont="1" applyFill="1" applyBorder="1" applyAlignment="1">
      <alignment vertical="top" wrapText="1"/>
    </xf>
    <xf numFmtId="165" fontId="51" fillId="3" borderId="9" xfId="4" applyNumberFormat="1" applyFont="1" applyFill="1" applyBorder="1" applyAlignment="1">
      <alignment vertical="top" wrapText="1"/>
    </xf>
    <xf numFmtId="0" fontId="8" fillId="26" borderId="14" xfId="0" applyFont="1" applyFill="1" applyBorder="1" applyAlignment="1">
      <alignment horizontal="left" vertical="top" wrapText="1"/>
    </xf>
    <xf numFmtId="0" fontId="8" fillId="26" borderId="15" xfId="0" applyFont="1" applyFill="1" applyBorder="1" applyAlignment="1">
      <alignment horizontal="left" vertical="top" wrapText="1"/>
    </xf>
    <xf numFmtId="2" fontId="51" fillId="3" borderId="8" xfId="4" applyNumberFormat="1" applyFont="1" applyFill="1" applyBorder="1" applyAlignment="1">
      <alignment vertical="top" wrapText="1"/>
    </xf>
    <xf numFmtId="2" fontId="51" fillId="3" borderId="9" xfId="4" applyNumberFormat="1" applyFont="1" applyFill="1" applyBorder="1" applyAlignment="1">
      <alignment vertical="top" wrapText="1"/>
    </xf>
    <xf numFmtId="0" fontId="4" fillId="26" borderId="9" xfId="0" applyFont="1" applyFill="1" applyBorder="1" applyAlignment="1">
      <alignment vertical="top" wrapText="1"/>
    </xf>
    <xf numFmtId="0" fontId="8" fillId="26" borderId="11" xfId="0" applyFont="1" applyFill="1" applyBorder="1" applyAlignment="1">
      <alignment horizontal="left" vertical="top" wrapText="1"/>
    </xf>
    <xf numFmtId="0" fontId="8" fillId="26" borderId="12" xfId="0" applyFont="1" applyFill="1" applyBorder="1" applyAlignment="1">
      <alignment horizontal="left" vertical="top" wrapText="1"/>
    </xf>
    <xf numFmtId="0" fontId="8" fillId="26" borderId="8" xfId="0" applyFont="1" applyFill="1" applyBorder="1" applyAlignment="1">
      <alignment horizontal="center" vertical="top" wrapText="1"/>
    </xf>
    <xf numFmtId="0" fontId="8" fillId="26" borderId="9" xfId="0" applyFont="1" applyFill="1" applyBorder="1" applyAlignment="1">
      <alignment horizontal="center" vertical="top" wrapText="1"/>
    </xf>
    <xf numFmtId="0" fontId="4" fillId="26" borderId="13" xfId="0" applyFont="1" applyFill="1" applyBorder="1" applyAlignment="1">
      <alignment horizontal="center" vertical="top"/>
    </xf>
    <xf numFmtId="0" fontId="4" fillId="26" borderId="5" xfId="0" applyFont="1" applyFill="1" applyBorder="1" applyAlignment="1">
      <alignment horizontal="center" vertical="top"/>
    </xf>
    <xf numFmtId="0" fontId="0" fillId="0" borderId="154" xfId="0" applyBorder="1" applyAlignment="1">
      <alignment horizontal="center" vertical="center" wrapText="1"/>
    </xf>
    <xf numFmtId="0" fontId="0" fillId="0" borderId="80" xfId="0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top" wrapText="1"/>
    </xf>
    <xf numFmtId="0" fontId="11" fillId="0" borderId="24" xfId="0" applyFont="1" applyBorder="1" applyAlignment="1">
      <alignment horizontal="center" vertical="top" wrapText="1"/>
    </xf>
    <xf numFmtId="0" fontId="11" fillId="0" borderId="15" xfId="0" applyFont="1" applyBorder="1" applyAlignment="1">
      <alignment horizontal="center" vertical="top" wrapText="1"/>
    </xf>
    <xf numFmtId="0" fontId="0" fillId="0" borderId="23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11" fillId="0" borderId="14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65" fillId="22" borderId="14" xfId="0" applyFont="1" applyFill="1" applyBorder="1" applyAlignment="1">
      <alignment horizontal="center"/>
    </xf>
    <xf numFmtId="0" fontId="65" fillId="22" borderId="23" xfId="0" applyFont="1" applyFill="1" applyBorder="1" applyAlignment="1">
      <alignment horizontal="center"/>
    </xf>
    <xf numFmtId="0" fontId="54" fillId="0" borderId="69" xfId="0" applyFont="1" applyBorder="1" applyAlignment="1">
      <alignment horizontal="center" vertical="center" wrapText="1"/>
    </xf>
    <xf numFmtId="0" fontId="0" fillId="0" borderId="69" xfId="0" applyBorder="1" applyAlignment="1">
      <alignment horizontal="center" vertical="center" wrapText="1"/>
    </xf>
    <xf numFmtId="0" fontId="0" fillId="0" borderId="69" xfId="0" applyBorder="1" applyAlignment="1">
      <alignment wrapText="1"/>
    </xf>
    <xf numFmtId="0" fontId="38" fillId="12" borderId="28" xfId="0" applyFont="1" applyFill="1" applyBorder="1" applyAlignment="1">
      <alignment horizontal="center" vertical="center" wrapText="1"/>
    </xf>
    <xf numFmtId="0" fontId="38" fillId="12" borderId="29" xfId="0" applyFont="1" applyFill="1" applyBorder="1" applyAlignment="1">
      <alignment horizontal="center" vertical="center" wrapText="1"/>
    </xf>
    <xf numFmtId="0" fontId="38" fillId="12" borderId="30" xfId="0" applyFont="1" applyFill="1" applyBorder="1" applyAlignment="1">
      <alignment horizontal="center" vertical="center" wrapText="1"/>
    </xf>
    <xf numFmtId="0" fontId="60" fillId="12" borderId="8" xfId="0" applyFont="1" applyFill="1" applyBorder="1" applyAlignment="1">
      <alignment horizontal="center" vertical="center" wrapText="1"/>
    </xf>
    <xf numFmtId="0" fontId="60" fillId="12" borderId="9" xfId="0" applyFont="1" applyFill="1" applyBorder="1" applyAlignment="1">
      <alignment horizontal="center" vertical="center" wrapText="1"/>
    </xf>
    <xf numFmtId="0" fontId="38" fillId="12" borderId="14" xfId="0" applyFont="1" applyFill="1" applyBorder="1" applyAlignment="1">
      <alignment horizontal="center" vertical="center" wrapText="1"/>
    </xf>
    <xf numFmtId="0" fontId="38" fillId="12" borderId="23" xfId="0" applyFont="1" applyFill="1" applyBorder="1" applyAlignment="1">
      <alignment horizontal="center" vertical="center" wrapText="1"/>
    </xf>
    <xf numFmtId="0" fontId="38" fillId="12" borderId="13" xfId="0" applyFont="1" applyFill="1" applyBorder="1" applyAlignment="1">
      <alignment horizontal="center" vertical="center" wrapText="1"/>
    </xf>
    <xf numFmtId="9" fontId="85" fillId="0" borderId="19" xfId="4" applyFont="1" applyBorder="1" applyAlignment="1">
      <alignment horizontal="right" indent="2"/>
    </xf>
  </cellXfs>
  <cellStyles count="20">
    <cellStyle name="Bad 2" xfId="14"/>
    <cellStyle name="Calculation" xfId="2" builtinId="22"/>
    <cellStyle name="Comma" xfId="5" builtinId="3"/>
    <cellStyle name="Comma 2" xfId="16"/>
    <cellStyle name="Currency" xfId="7" builtinId="4"/>
    <cellStyle name="Currency 2" xfId="17"/>
    <cellStyle name="Good" xfId="1" builtinId="26"/>
    <cellStyle name="Hyperlink" xfId="6" builtinId="8"/>
    <cellStyle name="Mena 2" xfId="10"/>
    <cellStyle name="Normal" xfId="0" builtinId="0"/>
    <cellStyle name="Normal 2" xfId="8"/>
    <cellStyle name="Normal 2 2" xfId="11"/>
    <cellStyle name="Normal 2 3" xfId="18"/>
    <cellStyle name="Normálna 2" xfId="13"/>
    <cellStyle name="Normálna 2 2" xfId="15"/>
    <cellStyle name="Note" xfId="3" builtinId="10"/>
    <cellStyle name="Percent" xfId="4" builtinId="5"/>
    <cellStyle name="Percent 2" xfId="9"/>
    <cellStyle name="Percent 2 2" xfId="12"/>
    <cellStyle name="Percent 2 3" xfId="19"/>
  </cellStyles>
  <dxfs count="411"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37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pivotCacheDefinition" Target="pivotCache/pivotCacheDefinition1.xml"/><Relationship Id="rId35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alo Rybar" refreshedDate="43494.741864814816" createdVersion="6" refreshedVersion="6" minRefreshableVersion="3" recordCount="87">
  <cacheSource type="worksheet">
    <worksheetSource ref="A2:AJ89" sheet="Rozpočet - vývoj Aplikácií"/>
  </cacheSource>
  <cacheFields count="36">
    <cacheField name="Modul MetaIS" numFmtId="49">
      <sharedItems containsBlank="1"/>
    </cacheField>
    <cacheField name="Druh aktivity" numFmtId="0">
      <sharedItems containsBlank="1" count="14">
        <m/>
        <s v="Analýza a návrh"/>
        <s v="Vývoj"/>
        <s v="Testovanie"/>
        <s v="Dokumentácia"/>
        <s v="Migrácia údajov"/>
        <s v="Nasadenie do rutinnej prevádzky"/>
        <s v="Projektové riadenie "/>
        <s v="Agendový informačný systém KSED" u="1"/>
        <s v="Verejný portál KSED" u="1"/>
        <s v="Mobilný Agendový informačný systém KSED" u="1"/>
        <s v="Mobilná aplikácia Podnety" u="1"/>
        <s v="Riadenie kvality projektu" u="1"/>
        <s v="Integračné rozhrania" u="1"/>
      </sharedItems>
    </cacheField>
    <cacheField name="Výstup/funkcionalita projektu" numFmtId="0">
      <sharedItems containsBlank="1"/>
    </cacheField>
    <cacheField name="Popis" numFmtId="0">
      <sharedItems containsNonDate="0" containsString="0" containsBlank="1"/>
    </cacheField>
    <cacheField name="M1" numFmtId="0">
      <sharedItems containsBlank="1" containsMixedTypes="1" containsNumber="1" containsInteger="1" minValue="1" maxValue="1"/>
    </cacheField>
    <cacheField name="M2" numFmtId="0">
      <sharedItems containsString="0" containsBlank="1" containsNumber="1" containsInteger="1" minValue="1" maxValue="1"/>
    </cacheField>
    <cacheField name="M3" numFmtId="0">
      <sharedItems containsString="0" containsBlank="1" containsNumber="1" containsInteger="1" minValue="1" maxValue="1"/>
    </cacheField>
    <cacheField name="M4" numFmtId="0">
      <sharedItems containsString="0" containsBlank="1" containsNumber="1" containsInteger="1" minValue="1" maxValue="1"/>
    </cacheField>
    <cacheField name="M5" numFmtId="0">
      <sharedItems containsString="0" containsBlank="1" containsNumber="1" containsInteger="1" minValue="1" maxValue="1"/>
    </cacheField>
    <cacheField name="M6" numFmtId="0">
      <sharedItems containsString="0" containsBlank="1" containsNumber="1" containsInteger="1" minValue="1" maxValue="1"/>
    </cacheField>
    <cacheField name="M7" numFmtId="0">
      <sharedItems containsString="0" containsBlank="1" containsNumber="1" containsInteger="1" minValue="1" maxValue="1"/>
    </cacheField>
    <cacheField name="M8" numFmtId="0">
      <sharedItems containsString="0" containsBlank="1" containsNumber="1" containsInteger="1" minValue="1" maxValue="1"/>
    </cacheField>
    <cacheField name="M9" numFmtId="0">
      <sharedItems containsString="0" containsBlank="1" containsNumber="1" containsInteger="1" minValue="1" maxValue="1"/>
    </cacheField>
    <cacheField name="M10" numFmtId="0">
      <sharedItems containsString="0" containsBlank="1" containsNumber="1" containsInteger="1" minValue="1" maxValue="1"/>
    </cacheField>
    <cacheField name="M11" numFmtId="0">
      <sharedItems containsString="0" containsBlank="1" containsNumber="1" containsInteger="1" minValue="1" maxValue="1"/>
    </cacheField>
    <cacheField name="M12" numFmtId="0">
      <sharedItems containsString="0" containsBlank="1" containsNumber="1" containsInteger="1" minValue="1" maxValue="1"/>
    </cacheField>
    <cacheField name="M13" numFmtId="0">
      <sharedItems containsString="0" containsBlank="1" containsNumber="1" containsInteger="1" minValue="1" maxValue="1"/>
    </cacheField>
    <cacheField name="M14" numFmtId="0">
      <sharedItems containsString="0" containsBlank="1" containsNumber="1" containsInteger="1" minValue="1" maxValue="1"/>
    </cacheField>
    <cacheField name="M15" numFmtId="0">
      <sharedItems containsString="0" containsBlank="1" containsNumber="1" containsInteger="1" minValue="1" maxValue="1"/>
    </cacheField>
    <cacheField name="M16" numFmtId="0">
      <sharedItems containsString="0" containsBlank="1" containsNumber="1" containsInteger="1" minValue="1" maxValue="1"/>
    </cacheField>
    <cacheField name="M17" numFmtId="0">
      <sharedItems containsString="0" containsBlank="1" containsNumber="1" containsInteger="1" minValue="1" maxValue="1"/>
    </cacheField>
    <cacheField name="M18" numFmtId="0">
      <sharedItems containsString="0" containsBlank="1" containsNumber="1" containsInteger="1" minValue="1" maxValue="1"/>
    </cacheField>
    <cacheField name="M19" numFmtId="0">
      <sharedItems containsString="0" containsBlank="1" containsNumber="1" containsInteger="1" minValue="1" maxValue="1"/>
    </cacheField>
    <cacheField name="M20" numFmtId="0">
      <sharedItems containsString="0" containsBlank="1" containsNumber="1" containsInteger="1" minValue="1" maxValue="1"/>
    </cacheField>
    <cacheField name="M21" numFmtId="0">
      <sharedItems containsString="0" containsBlank="1" containsNumber="1" containsInteger="1" minValue="1" maxValue="1"/>
    </cacheField>
    <cacheField name="M22" numFmtId="0">
      <sharedItems containsString="0" containsBlank="1" containsNumber="1" containsInteger="1" minValue="1" maxValue="1"/>
    </cacheField>
    <cacheField name="M23" numFmtId="0">
      <sharedItems containsString="0" containsBlank="1" containsNumber="1" containsInteger="1" minValue="1" maxValue="1"/>
    </cacheField>
    <cacheField name="M24" numFmtId="0">
      <sharedItems containsString="0" containsBlank="1" containsNumber="1" containsInteger="1" minValue="1" maxValue="1"/>
    </cacheField>
    <cacheField name="Počet dní interné" numFmtId="0">
      <sharedItems containsString="0" containsBlank="1" containsNumber="1" containsInteger="1" minValue="21" maxValue="504"/>
    </cacheField>
    <cacheField name="Počet dní externé" numFmtId="0">
      <sharedItems containsString="0" containsBlank="1" containsNumber="1" containsInteger="1" minValue="21" maxValue="504"/>
    </cacheField>
    <cacheField name="Pocet FTE interne" numFmtId="0">
      <sharedItems containsNonDate="0" containsString="0" containsBlank="1"/>
    </cacheField>
    <cacheField name="Pocet FTE externe" numFmtId="0">
      <sharedItems containsBlank="1" containsMixedTypes="1" containsNumber="1" minValue="0.01" maxValue="5.5"/>
    </cacheField>
    <cacheField name="Pocet MDs" numFmtId="0">
      <sharedItems containsString="0" containsBlank="1" containsNumber="1" minValue="0.84" maxValue="2079"/>
    </cacheField>
    <cacheField name="Rate FTE externé (s DPH)" numFmtId="169">
      <sharedItems containsString="0" containsBlank="1" containsNumber="1" containsInteger="1" minValue="684" maxValue="1440"/>
    </cacheField>
    <cacheField name="Suma interné" numFmtId="169">
      <sharedItems containsString="0" containsBlank="1" containsNumber="1" containsInteger="1" minValue="0" maxValue="0"/>
    </cacheField>
    <cacheField name="Suma externé (s DPH)" numFmtId="169">
      <sharedItems containsString="0" containsBlank="1" containsNumber="1" minValue="796.31999999999994" maxValue="162162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7">
  <r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Interný agendový informačný systém KSED"/>
    <x v="0"/>
    <s v="Modul Integrované povoľovanie"/>
    <m/>
    <s v="prosím doplňte časové trvanie aktivity (vložením &quot;1&quot;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Interný agendový informačný systém KSED"/>
    <x v="1"/>
    <s v="1.1 Analýza a návrh - analytik"/>
    <m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504"/>
    <n v="504"/>
    <m/>
    <n v="0.35000000000000003"/>
    <n v="176.4"/>
    <n v="888"/>
    <n v="0"/>
    <n v="156643.20000000001"/>
  </r>
  <r>
    <s v="Interný agendový informačný systém KSED"/>
    <x v="2"/>
    <s v="1.2 Vývoj - programátor"/>
    <m/>
    <m/>
    <m/>
    <m/>
    <m/>
    <m/>
    <m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378"/>
    <n v="378"/>
    <m/>
    <n v="1.35"/>
    <n v="510.3"/>
    <n v="780"/>
    <n v="0"/>
    <n v="398034"/>
  </r>
  <r>
    <s v="Interný agendový informačný systém KSED"/>
    <x v="3"/>
    <s v="1.3 Testovanie - tester"/>
    <m/>
    <m/>
    <m/>
    <m/>
    <m/>
    <m/>
    <m/>
    <m/>
    <m/>
    <n v="1"/>
    <n v="1"/>
    <n v="1"/>
    <n v="1"/>
    <m/>
    <n v="1"/>
    <n v="1"/>
    <n v="1"/>
    <n v="1"/>
    <m/>
    <n v="1"/>
    <n v="1"/>
    <n v="1"/>
    <n v="1"/>
    <n v="1"/>
    <n v="1"/>
    <n v="294"/>
    <n v="294"/>
    <m/>
    <n v="0.35000000000000003"/>
    <n v="102.9"/>
    <n v="684"/>
    <n v="0"/>
    <n v="70383.600000000006"/>
  </r>
  <r>
    <s v="Interný agendový informačný systém KSED"/>
    <x v="4"/>
    <s v="1.4 Dokumentácia - dokumentarista"/>
    <m/>
    <m/>
    <m/>
    <m/>
    <m/>
    <m/>
    <m/>
    <m/>
    <m/>
    <m/>
    <m/>
    <m/>
    <n v="1"/>
    <m/>
    <m/>
    <m/>
    <m/>
    <n v="1"/>
    <m/>
    <n v="1"/>
    <m/>
    <n v="1"/>
    <m/>
    <n v="1"/>
    <n v="1"/>
    <n v="126"/>
    <n v="126"/>
    <m/>
    <n v="0.02"/>
    <n v="2.52"/>
    <n v="684"/>
    <n v="0"/>
    <n v="1723.68"/>
  </r>
  <r>
    <s v="Interný agendový informačný systém KSED"/>
    <x v="5"/>
    <s v="1.5 Migrácia údajov - programátor"/>
    <m/>
    <m/>
    <m/>
    <m/>
    <m/>
    <m/>
    <m/>
    <m/>
    <m/>
    <m/>
    <n v="1"/>
    <n v="1"/>
    <n v="1"/>
    <m/>
    <n v="1"/>
    <n v="1"/>
    <n v="1"/>
    <n v="1"/>
    <m/>
    <n v="1"/>
    <m/>
    <n v="1"/>
    <m/>
    <m/>
    <n v="1"/>
    <n v="210"/>
    <n v="210"/>
    <m/>
    <n v="0.75"/>
    <n v="157.5"/>
    <n v="780"/>
    <n v="0"/>
    <n v="122850"/>
  </r>
  <r>
    <s v="Interný agendový informačný systém KSED"/>
    <x v="6"/>
    <s v="1.6 Nasadenie do rutinnej prevádzky - administrátor"/>
    <m/>
    <m/>
    <m/>
    <m/>
    <m/>
    <m/>
    <m/>
    <m/>
    <m/>
    <m/>
    <m/>
    <m/>
    <n v="1"/>
    <m/>
    <m/>
    <m/>
    <m/>
    <n v="1"/>
    <m/>
    <m/>
    <m/>
    <n v="1"/>
    <m/>
    <m/>
    <n v="1"/>
    <n v="84"/>
    <n v="84"/>
    <m/>
    <n v="0.03"/>
    <n v="2.52"/>
    <n v="948"/>
    <n v="0"/>
    <n v="2388.96"/>
  </r>
  <r>
    <s v="Interný agendový informačný systém KSED"/>
    <x v="0"/>
    <s v="Modul Kontrolná činnosť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Interný agendový informačný systém KSED"/>
    <x v="1"/>
    <s v="1.1 Analýza a návrh"/>
    <m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504"/>
    <n v="504"/>
    <m/>
    <n v="1.4"/>
    <n v="705.59999999999991"/>
    <n v="888"/>
    <n v="0"/>
    <n v="626572.79999999993"/>
  </r>
  <r>
    <s v="Interný agendový informačný systém KSED"/>
    <x v="2"/>
    <s v="1.2 Vývoj"/>
    <m/>
    <m/>
    <m/>
    <m/>
    <m/>
    <m/>
    <m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378"/>
    <n v="378"/>
    <m/>
    <n v="5.5"/>
    <n v="2079"/>
    <n v="780"/>
    <n v="0"/>
    <n v="1621620"/>
  </r>
  <r>
    <s v="Interný agendový informačný systém KSED"/>
    <x v="3"/>
    <s v="1.3 Testovanie"/>
    <m/>
    <m/>
    <m/>
    <m/>
    <m/>
    <m/>
    <m/>
    <m/>
    <m/>
    <n v="1"/>
    <n v="1"/>
    <n v="1"/>
    <n v="1"/>
    <m/>
    <n v="1"/>
    <n v="1"/>
    <n v="1"/>
    <n v="1"/>
    <m/>
    <n v="1"/>
    <n v="1"/>
    <n v="1"/>
    <n v="1"/>
    <n v="1"/>
    <n v="1"/>
    <n v="294"/>
    <n v="294"/>
    <m/>
    <n v="1.4"/>
    <n v="411.59999999999997"/>
    <n v="684"/>
    <n v="0"/>
    <n v="281534.39999999997"/>
  </r>
  <r>
    <s v="Interný agendový informačný systém KSED"/>
    <x v="4"/>
    <s v="1.4 Dokumentácia"/>
    <m/>
    <m/>
    <m/>
    <m/>
    <m/>
    <m/>
    <m/>
    <m/>
    <m/>
    <m/>
    <m/>
    <m/>
    <n v="1"/>
    <m/>
    <m/>
    <m/>
    <m/>
    <n v="1"/>
    <m/>
    <n v="1"/>
    <m/>
    <n v="1"/>
    <m/>
    <n v="1"/>
    <n v="1"/>
    <n v="126"/>
    <n v="126"/>
    <m/>
    <n v="6.0000000000000005E-2"/>
    <n v="7.5600000000000005"/>
    <n v="684"/>
    <n v="0"/>
    <n v="5171.04"/>
  </r>
  <r>
    <s v="Interný agendový informačný systém KSED"/>
    <x v="5"/>
    <s v="1.5 Migrácia údajov"/>
    <m/>
    <m/>
    <m/>
    <m/>
    <m/>
    <m/>
    <m/>
    <m/>
    <m/>
    <m/>
    <n v="1"/>
    <n v="1"/>
    <n v="1"/>
    <m/>
    <n v="1"/>
    <n v="1"/>
    <n v="1"/>
    <n v="1"/>
    <m/>
    <n v="1"/>
    <m/>
    <n v="1"/>
    <m/>
    <m/>
    <n v="1"/>
    <n v="210"/>
    <n v="210"/>
    <m/>
    <n v="3"/>
    <n v="630"/>
    <n v="780"/>
    <n v="0"/>
    <n v="491400"/>
  </r>
  <r>
    <s v="Interný agendový informačný systém KSED"/>
    <x v="6"/>
    <s v="1.6 Nasadenie do rutinnej prevádzky"/>
    <m/>
    <m/>
    <m/>
    <m/>
    <m/>
    <m/>
    <m/>
    <m/>
    <m/>
    <m/>
    <m/>
    <m/>
    <n v="1"/>
    <m/>
    <m/>
    <m/>
    <m/>
    <n v="1"/>
    <m/>
    <m/>
    <m/>
    <n v="1"/>
    <m/>
    <m/>
    <n v="1"/>
    <n v="84"/>
    <n v="84"/>
    <m/>
    <n v="0.12"/>
    <n v="10.08"/>
    <n v="948"/>
    <n v="0"/>
    <n v="9555.84"/>
  </r>
  <r>
    <s v="Interný agendový informačný systém KSED"/>
    <x v="0"/>
    <s v="Modul Riadenie interných procesných služieb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Interný agendový informačný systém KSED"/>
    <x v="1"/>
    <s v="1.1 Analýza a návrh"/>
    <m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504"/>
    <n v="504"/>
    <m/>
    <n v="0.32"/>
    <n v="161.28"/>
    <n v="888"/>
    <n v="0"/>
    <n v="143216.64000000001"/>
  </r>
  <r>
    <s v="Interný agendový informačný systém KSED"/>
    <x v="2"/>
    <s v="1.2 Vývoj"/>
    <m/>
    <m/>
    <m/>
    <m/>
    <m/>
    <m/>
    <m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378"/>
    <n v="378"/>
    <m/>
    <n v="1.25"/>
    <n v="472.5"/>
    <n v="780"/>
    <n v="0"/>
    <n v="368550"/>
  </r>
  <r>
    <s v="Interný agendový informačný systém KSED"/>
    <x v="3"/>
    <s v="1.3 Testovanie"/>
    <m/>
    <m/>
    <m/>
    <m/>
    <m/>
    <m/>
    <m/>
    <m/>
    <m/>
    <n v="1"/>
    <n v="1"/>
    <n v="1"/>
    <n v="1"/>
    <m/>
    <n v="1"/>
    <n v="1"/>
    <n v="1"/>
    <n v="1"/>
    <m/>
    <n v="1"/>
    <n v="1"/>
    <n v="1"/>
    <n v="1"/>
    <n v="1"/>
    <n v="1"/>
    <n v="294"/>
    <n v="294"/>
    <m/>
    <n v="0.32"/>
    <n v="94.08"/>
    <n v="684"/>
    <n v="0"/>
    <n v="64350.720000000001"/>
  </r>
  <r>
    <s v="Interný agendový informačný systém KSED"/>
    <x v="4"/>
    <s v="1.4 Dokumentácia"/>
    <m/>
    <m/>
    <m/>
    <m/>
    <m/>
    <m/>
    <m/>
    <m/>
    <m/>
    <m/>
    <m/>
    <m/>
    <n v="1"/>
    <m/>
    <m/>
    <m/>
    <m/>
    <n v="1"/>
    <m/>
    <n v="1"/>
    <m/>
    <n v="1"/>
    <m/>
    <n v="1"/>
    <n v="1"/>
    <n v="126"/>
    <n v="126"/>
    <m/>
    <n v="0.02"/>
    <n v="2.52"/>
    <n v="684"/>
    <n v="0"/>
    <n v="1723.68"/>
  </r>
  <r>
    <s v="Interný agendový informačný systém KSED"/>
    <x v="5"/>
    <s v="1.5 Migrácia údajov"/>
    <m/>
    <m/>
    <m/>
    <m/>
    <m/>
    <m/>
    <m/>
    <m/>
    <m/>
    <m/>
    <n v="1"/>
    <n v="1"/>
    <n v="1"/>
    <m/>
    <n v="1"/>
    <n v="1"/>
    <n v="1"/>
    <n v="1"/>
    <m/>
    <n v="1"/>
    <m/>
    <n v="1"/>
    <m/>
    <m/>
    <n v="1"/>
    <n v="210"/>
    <n v="210"/>
    <m/>
    <n v="0.69000000000000006"/>
    <n v="144.9"/>
    <n v="780"/>
    <n v="0"/>
    <n v="113022"/>
  </r>
  <r>
    <s v="Interný agendový informačný systém KSED"/>
    <x v="6"/>
    <s v="1.6 Nasadenie do rutinnej prevádzky"/>
    <m/>
    <m/>
    <m/>
    <m/>
    <m/>
    <m/>
    <m/>
    <m/>
    <m/>
    <m/>
    <m/>
    <m/>
    <n v="1"/>
    <m/>
    <m/>
    <m/>
    <m/>
    <n v="1"/>
    <m/>
    <m/>
    <m/>
    <n v="1"/>
    <m/>
    <m/>
    <n v="1"/>
    <n v="84"/>
    <n v="84"/>
    <m/>
    <n v="0.03"/>
    <n v="2.52"/>
    <n v="948"/>
    <n v="0"/>
    <n v="2388.96"/>
  </r>
  <r>
    <s v="Interný agendový informačný systém KSED"/>
    <x v="0"/>
    <s v="Modul Plánovanie kontrolných činností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Interný agendový informačný systém KSED"/>
    <x v="1"/>
    <s v="1.1 Analýza a návrh"/>
    <m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504"/>
    <n v="504"/>
    <m/>
    <n v="0.15000000000000002"/>
    <n v="75.600000000000009"/>
    <n v="888"/>
    <n v="0"/>
    <n v="67132.800000000003"/>
  </r>
  <r>
    <s v="Interný agendový informačný systém KSED"/>
    <x v="2"/>
    <s v="1.2 Vývoj"/>
    <m/>
    <m/>
    <m/>
    <m/>
    <m/>
    <m/>
    <m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378"/>
    <n v="378"/>
    <m/>
    <n v="0.57000000000000006"/>
    <n v="215.46000000000004"/>
    <n v="780"/>
    <n v="0"/>
    <n v="168058.80000000002"/>
  </r>
  <r>
    <s v="Interný agendový informačný systém KSED"/>
    <x v="3"/>
    <s v="1.3 Testovanie"/>
    <m/>
    <m/>
    <m/>
    <m/>
    <m/>
    <m/>
    <m/>
    <m/>
    <m/>
    <n v="1"/>
    <n v="1"/>
    <n v="1"/>
    <n v="1"/>
    <m/>
    <n v="1"/>
    <n v="1"/>
    <n v="1"/>
    <n v="1"/>
    <m/>
    <n v="1"/>
    <n v="1"/>
    <n v="1"/>
    <n v="1"/>
    <n v="1"/>
    <n v="1"/>
    <n v="294"/>
    <n v="294"/>
    <m/>
    <n v="0.15000000000000002"/>
    <n v="44.100000000000009"/>
    <n v="684"/>
    <n v="0"/>
    <n v="30164.400000000005"/>
  </r>
  <r>
    <s v="Interný agendový informačný systém KSED"/>
    <x v="4"/>
    <s v="1.4 Dokumentácia"/>
    <m/>
    <m/>
    <m/>
    <m/>
    <m/>
    <m/>
    <m/>
    <m/>
    <m/>
    <m/>
    <m/>
    <m/>
    <n v="1"/>
    <m/>
    <m/>
    <m/>
    <m/>
    <n v="1"/>
    <m/>
    <n v="1"/>
    <m/>
    <n v="1"/>
    <m/>
    <n v="1"/>
    <n v="1"/>
    <n v="126"/>
    <n v="126"/>
    <m/>
    <n v="0.01"/>
    <n v="1.26"/>
    <n v="684"/>
    <n v="0"/>
    <n v="861.84"/>
  </r>
  <r>
    <s v="Interný agendový informačný systém KSED"/>
    <x v="5"/>
    <s v="1.5 Migrácia údajov"/>
    <m/>
    <m/>
    <m/>
    <m/>
    <m/>
    <m/>
    <m/>
    <m/>
    <m/>
    <m/>
    <n v="1"/>
    <n v="1"/>
    <n v="1"/>
    <m/>
    <n v="1"/>
    <n v="1"/>
    <n v="1"/>
    <n v="1"/>
    <m/>
    <n v="1"/>
    <m/>
    <n v="1"/>
    <m/>
    <m/>
    <n v="1"/>
    <n v="210"/>
    <n v="210"/>
    <m/>
    <n v="0.31"/>
    <n v="65.099999999999994"/>
    <n v="780"/>
    <n v="0"/>
    <n v="50777.999999999993"/>
  </r>
  <r>
    <s v="Interný agendový informačný systém KSED"/>
    <x v="6"/>
    <s v="1.6 Nasadenie do rutinnej prevádzky"/>
    <m/>
    <m/>
    <m/>
    <m/>
    <m/>
    <m/>
    <m/>
    <m/>
    <m/>
    <m/>
    <m/>
    <m/>
    <n v="1"/>
    <m/>
    <m/>
    <m/>
    <m/>
    <n v="1"/>
    <m/>
    <m/>
    <m/>
    <n v="1"/>
    <m/>
    <m/>
    <n v="1"/>
    <n v="84"/>
    <n v="84"/>
    <m/>
    <n v="0.02"/>
    <n v="1.68"/>
    <n v="948"/>
    <n v="0"/>
    <n v="1592.6399999999999"/>
  </r>
  <r>
    <s v="Interný agendový informačný systém KSED"/>
    <x v="0"/>
    <s v="Modul Správne konani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Interný agendový informačný systém KSED"/>
    <x v="1"/>
    <s v="1.1 Analýza a návrh"/>
    <m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504"/>
    <n v="504"/>
    <m/>
    <n v="0.22"/>
    <n v="110.88"/>
    <n v="888"/>
    <n v="0"/>
    <n v="98461.440000000002"/>
  </r>
  <r>
    <s v="Interný agendový informačný systém KSED"/>
    <x v="2"/>
    <s v="1.2 Vývoj"/>
    <m/>
    <m/>
    <m/>
    <m/>
    <m/>
    <m/>
    <m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378"/>
    <n v="378"/>
    <m/>
    <n v="0.86"/>
    <n v="325.08"/>
    <n v="780"/>
    <n v="0"/>
    <n v="253562.4"/>
  </r>
  <r>
    <s v="Interný agendový informačný systém KSED"/>
    <x v="3"/>
    <s v="1.3 Testovanie"/>
    <m/>
    <m/>
    <m/>
    <m/>
    <m/>
    <m/>
    <m/>
    <m/>
    <m/>
    <n v="1"/>
    <n v="1"/>
    <n v="1"/>
    <n v="1"/>
    <m/>
    <n v="1"/>
    <n v="1"/>
    <n v="1"/>
    <n v="1"/>
    <m/>
    <n v="1"/>
    <n v="1"/>
    <n v="1"/>
    <n v="1"/>
    <n v="1"/>
    <n v="1"/>
    <n v="294"/>
    <n v="294"/>
    <m/>
    <n v="0.22"/>
    <n v="64.680000000000007"/>
    <n v="684"/>
    <n v="0"/>
    <n v="44241.120000000003"/>
  </r>
  <r>
    <s v="Interný agendový informačný systém KSED"/>
    <x v="4"/>
    <s v="1.4 Dokumentácia"/>
    <m/>
    <m/>
    <m/>
    <m/>
    <m/>
    <m/>
    <m/>
    <m/>
    <m/>
    <m/>
    <m/>
    <m/>
    <n v="1"/>
    <m/>
    <m/>
    <m/>
    <m/>
    <n v="1"/>
    <m/>
    <n v="1"/>
    <m/>
    <n v="1"/>
    <m/>
    <n v="1"/>
    <n v="1"/>
    <n v="126"/>
    <n v="126"/>
    <m/>
    <n v="0.01"/>
    <n v="1.26"/>
    <n v="684"/>
    <n v="0"/>
    <n v="861.84"/>
  </r>
  <r>
    <s v="Interný agendový informačný systém KSED"/>
    <x v="5"/>
    <s v="1.5 Migrácia údajov"/>
    <m/>
    <m/>
    <m/>
    <m/>
    <m/>
    <m/>
    <m/>
    <m/>
    <m/>
    <m/>
    <n v="1"/>
    <n v="1"/>
    <n v="1"/>
    <m/>
    <n v="1"/>
    <n v="1"/>
    <n v="1"/>
    <n v="1"/>
    <m/>
    <n v="1"/>
    <m/>
    <n v="1"/>
    <m/>
    <m/>
    <n v="1"/>
    <n v="210"/>
    <n v="210"/>
    <m/>
    <n v="0.47000000000000003"/>
    <n v="98.7"/>
    <n v="780"/>
    <n v="0"/>
    <n v="76986"/>
  </r>
  <r>
    <s v="Interný agendový informačný systém KSED"/>
    <x v="6"/>
    <s v="1.6 Nasadenie do rutinnej prevádzky"/>
    <m/>
    <m/>
    <m/>
    <m/>
    <m/>
    <m/>
    <m/>
    <m/>
    <m/>
    <m/>
    <m/>
    <m/>
    <n v="1"/>
    <m/>
    <m/>
    <m/>
    <m/>
    <n v="1"/>
    <m/>
    <m/>
    <m/>
    <n v="1"/>
    <m/>
    <m/>
    <n v="1"/>
    <n v="84"/>
    <n v="84"/>
    <m/>
    <n v="0.02"/>
    <n v="1.68"/>
    <n v="948"/>
    <n v="0"/>
    <n v="1592.6399999999999"/>
  </r>
  <r>
    <s v="Interný agendový informačný systém KSED"/>
    <x v="0"/>
    <s v="Modul Analýzy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Interný agendový informačný systém KSED"/>
    <x v="1"/>
    <s v="1.1 Analýza a návrh - analytik"/>
    <m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504"/>
    <n v="504"/>
    <m/>
    <n v="0.33"/>
    <n v="166.32000000000002"/>
    <n v="888"/>
    <n v="0"/>
    <n v="147692.16000000003"/>
  </r>
  <r>
    <s v="Interný agendový informačný systém KSED"/>
    <x v="2"/>
    <s v="1.2 Vývoj - programátor"/>
    <m/>
    <m/>
    <m/>
    <m/>
    <m/>
    <m/>
    <m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378"/>
    <n v="378"/>
    <m/>
    <n v="1.3"/>
    <n v="491.40000000000003"/>
    <n v="780"/>
    <n v="0"/>
    <n v="383292"/>
  </r>
  <r>
    <s v="Interný agendový informačný systém KSED"/>
    <x v="3"/>
    <s v="1.3 Testovanie - tester"/>
    <m/>
    <m/>
    <m/>
    <m/>
    <m/>
    <m/>
    <m/>
    <m/>
    <m/>
    <n v="1"/>
    <n v="1"/>
    <n v="1"/>
    <n v="1"/>
    <m/>
    <n v="1"/>
    <n v="1"/>
    <n v="1"/>
    <n v="1"/>
    <m/>
    <n v="1"/>
    <n v="1"/>
    <n v="1"/>
    <n v="1"/>
    <n v="1"/>
    <n v="1"/>
    <n v="294"/>
    <n v="294"/>
    <m/>
    <n v="0.33"/>
    <n v="97.02000000000001"/>
    <n v="684"/>
    <n v="0"/>
    <n v="66361.680000000008"/>
  </r>
  <r>
    <s v="Interný agendový informačný systém KSED"/>
    <x v="4"/>
    <s v="1.4 Dokumentácia - dokumentarista"/>
    <m/>
    <m/>
    <m/>
    <m/>
    <m/>
    <m/>
    <m/>
    <m/>
    <m/>
    <m/>
    <m/>
    <m/>
    <n v="1"/>
    <m/>
    <m/>
    <m/>
    <m/>
    <n v="1"/>
    <m/>
    <n v="1"/>
    <m/>
    <n v="1"/>
    <m/>
    <n v="1"/>
    <n v="1"/>
    <n v="126"/>
    <n v="126"/>
    <m/>
    <n v="0.02"/>
    <n v="2.52"/>
    <n v="684"/>
    <n v="0"/>
    <n v="1723.68"/>
  </r>
  <r>
    <s v="Interný agendový informačný systém KSED"/>
    <x v="5"/>
    <s v="1.5 Migrácia údajov - programátor"/>
    <m/>
    <m/>
    <m/>
    <m/>
    <m/>
    <m/>
    <m/>
    <m/>
    <m/>
    <m/>
    <n v="1"/>
    <n v="1"/>
    <n v="1"/>
    <m/>
    <n v="1"/>
    <n v="1"/>
    <n v="1"/>
    <n v="1"/>
    <m/>
    <n v="1"/>
    <m/>
    <n v="1"/>
    <m/>
    <m/>
    <n v="1"/>
    <n v="210"/>
    <n v="210"/>
    <m/>
    <n v="0.7"/>
    <n v="147"/>
    <n v="780"/>
    <n v="0"/>
    <n v="114660"/>
  </r>
  <r>
    <s v="Interný agendový informačný systém KSED"/>
    <x v="6"/>
    <s v="1.6 Nasadenie do rutinnej prevádzky - administrátor"/>
    <m/>
    <m/>
    <m/>
    <m/>
    <m/>
    <m/>
    <m/>
    <m/>
    <m/>
    <m/>
    <m/>
    <m/>
    <n v="1"/>
    <m/>
    <m/>
    <m/>
    <m/>
    <n v="1"/>
    <m/>
    <m/>
    <m/>
    <n v="1"/>
    <m/>
    <m/>
    <n v="1"/>
    <n v="84"/>
    <n v="84"/>
    <m/>
    <n v="0.03"/>
    <n v="2.52"/>
    <n v="948"/>
    <n v="0"/>
    <n v="2388.96"/>
  </r>
  <r>
    <s v="Interný agendový informačný systém KSED"/>
    <x v="0"/>
    <s v="Modul Podnety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Interný agendový informačný systém KSED"/>
    <x v="1"/>
    <s v="1.1 Analýza a návrh - analytik"/>
    <m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504"/>
    <n v="504"/>
    <m/>
    <n v="0.12"/>
    <n v="60.48"/>
    <n v="888"/>
    <n v="0"/>
    <n v="53706.239999999998"/>
  </r>
  <r>
    <s v="Interný agendový informačný systém KSED"/>
    <x v="2"/>
    <s v="1.2 Vývoj - programátor"/>
    <m/>
    <m/>
    <m/>
    <m/>
    <m/>
    <m/>
    <m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378"/>
    <n v="378"/>
    <m/>
    <n v="0.48"/>
    <n v="181.44"/>
    <n v="780"/>
    <n v="0"/>
    <n v="141523.20000000001"/>
  </r>
  <r>
    <s v="Interný agendový informačný systém KSED"/>
    <x v="3"/>
    <s v="1.3 Testovanie - tester"/>
    <m/>
    <m/>
    <m/>
    <m/>
    <m/>
    <m/>
    <m/>
    <m/>
    <m/>
    <n v="1"/>
    <n v="1"/>
    <n v="1"/>
    <n v="1"/>
    <m/>
    <n v="1"/>
    <n v="1"/>
    <n v="1"/>
    <n v="1"/>
    <m/>
    <n v="1"/>
    <n v="1"/>
    <n v="1"/>
    <n v="1"/>
    <n v="1"/>
    <n v="1"/>
    <n v="294"/>
    <n v="294"/>
    <m/>
    <n v="0.12"/>
    <n v="35.28"/>
    <n v="684"/>
    <n v="0"/>
    <n v="24131.52"/>
  </r>
  <r>
    <s v="Interný agendový informačný systém KSED"/>
    <x v="4"/>
    <s v="1.4 Dokumentácia - dokumentarista"/>
    <m/>
    <m/>
    <m/>
    <m/>
    <m/>
    <m/>
    <m/>
    <m/>
    <m/>
    <m/>
    <m/>
    <m/>
    <n v="1"/>
    <m/>
    <m/>
    <m/>
    <m/>
    <n v="1"/>
    <m/>
    <n v="1"/>
    <m/>
    <n v="1"/>
    <m/>
    <n v="1"/>
    <n v="1"/>
    <n v="126"/>
    <n v="126"/>
    <m/>
    <n v="0.01"/>
    <n v="1.26"/>
    <n v="684"/>
    <n v="0"/>
    <n v="861.84"/>
  </r>
  <r>
    <s v="Interný agendový informačný systém KSED"/>
    <x v="5"/>
    <s v="1.5 Migrácia údajov - programátor"/>
    <m/>
    <m/>
    <m/>
    <m/>
    <m/>
    <m/>
    <m/>
    <m/>
    <m/>
    <m/>
    <n v="1"/>
    <n v="1"/>
    <n v="1"/>
    <m/>
    <n v="1"/>
    <n v="1"/>
    <n v="1"/>
    <n v="1"/>
    <m/>
    <n v="1"/>
    <m/>
    <n v="1"/>
    <m/>
    <m/>
    <n v="1"/>
    <n v="210"/>
    <n v="210"/>
    <m/>
    <n v="0.26"/>
    <n v="54.6"/>
    <n v="780"/>
    <n v="0"/>
    <n v="42588"/>
  </r>
  <r>
    <s v="Interný agendový informačný systém KSED"/>
    <x v="6"/>
    <s v="1.6 Nasadenie do rutinnej prevádzky - administrátor"/>
    <m/>
    <m/>
    <m/>
    <m/>
    <m/>
    <m/>
    <m/>
    <m/>
    <m/>
    <m/>
    <m/>
    <m/>
    <n v="1"/>
    <m/>
    <m/>
    <m/>
    <m/>
    <n v="1"/>
    <m/>
    <m/>
    <m/>
    <n v="1"/>
    <m/>
    <m/>
    <n v="1"/>
    <n v="84"/>
    <n v="84"/>
    <m/>
    <n v="0.01"/>
    <n v="0.84"/>
    <n v="948"/>
    <n v="0"/>
    <n v="796.31999999999994"/>
  </r>
  <r>
    <s v="Interný agendový informačný systém KSED"/>
    <x v="0"/>
    <s v="Modul Vyhodnocovanie  a reporting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Interný agendový informačný systém KSED"/>
    <x v="1"/>
    <s v="1.1 Analýza a návrh - analytik"/>
    <m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504"/>
    <n v="504"/>
    <m/>
    <n v="0.15000000000000002"/>
    <n v="75.600000000000009"/>
    <n v="888"/>
    <n v="0"/>
    <n v="67132.800000000003"/>
  </r>
  <r>
    <s v="Interný agendový informačný systém KSED"/>
    <x v="2"/>
    <s v="1.2 Vývoj - programátor"/>
    <m/>
    <m/>
    <m/>
    <m/>
    <m/>
    <m/>
    <m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378"/>
    <n v="378"/>
    <m/>
    <n v="0.6"/>
    <n v="226.79999999999998"/>
    <n v="780"/>
    <n v="0"/>
    <n v="176904"/>
  </r>
  <r>
    <s v="Interný agendový informačný systém KSED"/>
    <x v="3"/>
    <s v="1.3 Testovanie - tester"/>
    <m/>
    <m/>
    <m/>
    <m/>
    <m/>
    <m/>
    <m/>
    <m/>
    <m/>
    <n v="1"/>
    <n v="1"/>
    <n v="1"/>
    <n v="1"/>
    <m/>
    <n v="1"/>
    <n v="1"/>
    <n v="1"/>
    <n v="1"/>
    <m/>
    <n v="1"/>
    <n v="1"/>
    <n v="1"/>
    <n v="1"/>
    <n v="1"/>
    <n v="1"/>
    <n v="294"/>
    <n v="294"/>
    <m/>
    <n v="0.15000000000000002"/>
    <n v="44.100000000000009"/>
    <n v="684"/>
    <n v="0"/>
    <n v="30164.400000000005"/>
  </r>
  <r>
    <s v="Interný agendový informačný systém KSED"/>
    <x v="4"/>
    <s v="1.4 Dokumentácia - dokumentarista"/>
    <m/>
    <m/>
    <m/>
    <m/>
    <m/>
    <m/>
    <m/>
    <m/>
    <m/>
    <m/>
    <m/>
    <m/>
    <n v="1"/>
    <m/>
    <m/>
    <m/>
    <m/>
    <n v="1"/>
    <m/>
    <n v="1"/>
    <m/>
    <n v="1"/>
    <m/>
    <n v="1"/>
    <n v="1"/>
    <n v="126"/>
    <n v="126"/>
    <m/>
    <n v="0.01"/>
    <n v="1.26"/>
    <n v="684"/>
    <n v="0"/>
    <n v="861.84"/>
  </r>
  <r>
    <s v="Interný agendový informačný systém KSED"/>
    <x v="5"/>
    <s v="1.5 Migrácia údajov - programátor"/>
    <m/>
    <m/>
    <m/>
    <m/>
    <m/>
    <m/>
    <m/>
    <m/>
    <m/>
    <m/>
    <n v="1"/>
    <n v="1"/>
    <n v="1"/>
    <m/>
    <n v="1"/>
    <n v="1"/>
    <n v="1"/>
    <n v="1"/>
    <m/>
    <n v="1"/>
    <m/>
    <n v="1"/>
    <m/>
    <m/>
    <n v="1"/>
    <n v="210"/>
    <n v="210"/>
    <m/>
    <n v="0.3"/>
    <n v="63"/>
    <n v="780"/>
    <n v="0"/>
    <n v="49140"/>
  </r>
  <r>
    <s v="Interný agendový informačný systém KSED"/>
    <x v="6"/>
    <s v="1.6 Nasadenie do rutinnej prevádzky - administrátor"/>
    <m/>
    <m/>
    <m/>
    <m/>
    <m/>
    <m/>
    <m/>
    <m/>
    <m/>
    <m/>
    <m/>
    <m/>
    <n v="1"/>
    <m/>
    <m/>
    <m/>
    <m/>
    <n v="1"/>
    <m/>
    <m/>
    <m/>
    <n v="1"/>
    <m/>
    <m/>
    <n v="1"/>
    <n v="84"/>
    <n v="84"/>
    <m/>
    <n v="0.02"/>
    <n v="1.68"/>
    <n v="948"/>
    <n v="0"/>
    <n v="1592.6399999999999"/>
  </r>
  <r>
    <s v=" Mobilný agendový informačný systém KSED"/>
    <x v="0"/>
    <s v="2. Mobilný Agendový informačný systém KSED"/>
    <m/>
    <m/>
    <m/>
    <m/>
    <m/>
    <m/>
    <m/>
    <m/>
    <m/>
    <m/>
    <m/>
    <m/>
    <m/>
    <m/>
    <m/>
    <m/>
    <m/>
    <m/>
    <m/>
    <m/>
    <m/>
    <m/>
    <m/>
    <m/>
    <m/>
    <m/>
    <m/>
    <m/>
    <s v="Spolu MDs na modul"/>
    <n v="952.14"/>
    <m/>
    <m/>
    <m/>
  </r>
  <r>
    <s v=" Mobilný agendový informačný systém KSED"/>
    <x v="1"/>
    <s v="2.1 Analýza a návrh"/>
    <m/>
    <m/>
    <m/>
    <m/>
    <m/>
    <m/>
    <m/>
    <n v="1"/>
    <n v="1"/>
    <n v="1"/>
    <n v="1"/>
    <n v="1"/>
    <n v="1"/>
    <n v="1"/>
    <n v="1"/>
    <n v="1"/>
    <n v="1"/>
    <n v="1"/>
    <m/>
    <m/>
    <m/>
    <m/>
    <m/>
    <m/>
    <m/>
    <n v="231"/>
    <n v="231"/>
    <m/>
    <n v="0.125"/>
    <n v="28.875"/>
    <n v="888"/>
    <n v="0"/>
    <n v="25641"/>
  </r>
  <r>
    <s v=" Mobilný agendový informačný systém KSED"/>
    <x v="2"/>
    <s v="2.2 Vývoj"/>
    <m/>
    <m/>
    <m/>
    <m/>
    <m/>
    <m/>
    <m/>
    <n v="1"/>
    <n v="1"/>
    <n v="1"/>
    <n v="1"/>
    <n v="1"/>
    <n v="1"/>
    <n v="1"/>
    <n v="1"/>
    <n v="1"/>
    <n v="1"/>
    <n v="1"/>
    <m/>
    <m/>
    <m/>
    <m/>
    <m/>
    <m/>
    <m/>
    <n v="231"/>
    <n v="231"/>
    <m/>
    <n v="1.25"/>
    <n v="288.75"/>
    <n v="780"/>
    <n v="0"/>
    <n v="225225"/>
  </r>
  <r>
    <s v=" Mobilný agendový informačný systém KSED"/>
    <x v="3"/>
    <s v="2.3 Testovanie"/>
    <m/>
    <m/>
    <m/>
    <m/>
    <m/>
    <m/>
    <m/>
    <m/>
    <m/>
    <m/>
    <n v="1"/>
    <n v="1"/>
    <n v="1"/>
    <m/>
    <n v="1"/>
    <n v="1"/>
    <n v="1"/>
    <n v="1"/>
    <m/>
    <m/>
    <m/>
    <m/>
    <m/>
    <m/>
    <m/>
    <n v="147"/>
    <n v="147"/>
    <m/>
    <n v="0.25"/>
    <n v="36.75"/>
    <n v="684"/>
    <n v="0"/>
    <n v="25137"/>
  </r>
  <r>
    <s v=" Mobilný agendový informačný systém KSED"/>
    <x v="4"/>
    <s v="2.4 Dokumentácia"/>
    <m/>
    <m/>
    <m/>
    <m/>
    <m/>
    <m/>
    <m/>
    <m/>
    <m/>
    <m/>
    <m/>
    <m/>
    <n v="1"/>
    <m/>
    <m/>
    <n v="1"/>
    <m/>
    <n v="1"/>
    <m/>
    <m/>
    <m/>
    <m/>
    <m/>
    <m/>
    <m/>
    <n v="63"/>
    <n v="63"/>
    <m/>
    <n v="0.125"/>
    <n v="7.875"/>
    <n v="684"/>
    <n v="0"/>
    <n v="5386.5"/>
  </r>
  <r>
    <s v=" Mobilný agendový informačný systém KSED"/>
    <x v="6"/>
    <s v="2.5 Nasadenie do rutinnej prevádzky"/>
    <m/>
    <m/>
    <m/>
    <m/>
    <m/>
    <m/>
    <m/>
    <m/>
    <m/>
    <m/>
    <m/>
    <m/>
    <n v="1"/>
    <m/>
    <m/>
    <m/>
    <m/>
    <n v="1"/>
    <m/>
    <m/>
    <m/>
    <m/>
    <m/>
    <m/>
    <m/>
    <n v="42"/>
    <n v="42"/>
    <m/>
    <n v="0.125"/>
    <n v="5.25"/>
    <n v="948"/>
    <n v="0"/>
    <n v="4977"/>
  </r>
  <r>
    <s v="Verejný portál KSED"/>
    <x v="0"/>
    <s v="3. Verejný portál KSED"/>
    <m/>
    <m/>
    <m/>
    <m/>
    <m/>
    <m/>
    <m/>
    <m/>
    <m/>
    <m/>
    <m/>
    <m/>
    <m/>
    <m/>
    <m/>
    <m/>
    <m/>
    <m/>
    <m/>
    <m/>
    <m/>
    <m/>
    <m/>
    <m/>
    <m/>
    <m/>
    <m/>
    <m/>
    <s v="Spolu MDs na modul"/>
    <n v="367.5"/>
    <m/>
    <m/>
    <m/>
  </r>
  <r>
    <s v="Interný agendový informačný systém KSED"/>
    <x v="1"/>
    <s v="3.1 Analýza a návrh"/>
    <m/>
    <m/>
    <m/>
    <m/>
    <m/>
    <m/>
    <m/>
    <m/>
    <n v="1"/>
    <n v="1"/>
    <n v="1"/>
    <n v="1"/>
    <m/>
    <n v="1"/>
    <n v="1"/>
    <m/>
    <m/>
    <m/>
    <n v="1"/>
    <n v="1"/>
    <m/>
    <m/>
    <m/>
    <m/>
    <m/>
    <n v="168"/>
    <n v="168"/>
    <m/>
    <n v="0.25"/>
    <n v="42"/>
    <n v="888"/>
    <n v="0"/>
    <n v="37296"/>
  </r>
  <r>
    <s v="Interný agendový informačný systém KSED"/>
    <x v="2"/>
    <s v="3.2 Vývoj"/>
    <m/>
    <m/>
    <m/>
    <m/>
    <m/>
    <m/>
    <m/>
    <m/>
    <m/>
    <m/>
    <m/>
    <n v="1"/>
    <n v="1"/>
    <n v="1"/>
    <n v="1"/>
    <n v="1"/>
    <n v="1"/>
    <n v="1"/>
    <n v="1"/>
    <n v="1"/>
    <n v="1"/>
    <n v="1"/>
    <m/>
    <m/>
    <m/>
    <n v="231"/>
    <n v="231"/>
    <m/>
    <n v="1"/>
    <n v="231"/>
    <n v="780"/>
    <n v="0"/>
    <n v="180180"/>
  </r>
  <r>
    <s v="Interný agendový informačný systém KSED"/>
    <x v="3"/>
    <s v="3.3 Testovanie"/>
    <m/>
    <m/>
    <m/>
    <m/>
    <m/>
    <m/>
    <m/>
    <m/>
    <m/>
    <m/>
    <m/>
    <m/>
    <m/>
    <m/>
    <m/>
    <m/>
    <m/>
    <m/>
    <m/>
    <m/>
    <m/>
    <n v="1"/>
    <n v="1"/>
    <m/>
    <m/>
    <n v="42"/>
    <n v="42"/>
    <m/>
    <n v="0.75"/>
    <n v="31.5"/>
    <n v="684"/>
    <n v="0"/>
    <n v="21546"/>
  </r>
  <r>
    <s v="Interný agendový informačný systém KSED"/>
    <x v="4"/>
    <s v="3.4 Dokumentácia"/>
    <m/>
    <m/>
    <m/>
    <m/>
    <m/>
    <m/>
    <m/>
    <m/>
    <m/>
    <m/>
    <m/>
    <m/>
    <m/>
    <m/>
    <m/>
    <m/>
    <m/>
    <m/>
    <m/>
    <m/>
    <m/>
    <m/>
    <n v="1"/>
    <m/>
    <m/>
    <n v="21"/>
    <n v="21"/>
    <m/>
    <n v="0.125"/>
    <n v="2.625"/>
    <n v="684"/>
    <n v="0"/>
    <n v="1795.5"/>
  </r>
  <r>
    <s v="Interný agendový informačný systém KSED"/>
    <x v="5"/>
    <s v="3.5 Migrácia údajov"/>
    <m/>
    <m/>
    <m/>
    <m/>
    <m/>
    <m/>
    <m/>
    <m/>
    <m/>
    <m/>
    <m/>
    <m/>
    <m/>
    <m/>
    <m/>
    <m/>
    <m/>
    <m/>
    <m/>
    <m/>
    <m/>
    <n v="1"/>
    <n v="1"/>
    <m/>
    <m/>
    <n v="42"/>
    <n v="42"/>
    <m/>
    <n v="0.5"/>
    <n v="21"/>
    <n v="780"/>
    <n v="0"/>
    <n v="16380"/>
  </r>
  <r>
    <s v="Interný agendový informačný systém KSED"/>
    <x v="6"/>
    <s v="3.6 Nasadenie do rutinnej prevádzky"/>
    <m/>
    <m/>
    <m/>
    <m/>
    <m/>
    <m/>
    <m/>
    <m/>
    <m/>
    <m/>
    <m/>
    <m/>
    <m/>
    <m/>
    <m/>
    <m/>
    <m/>
    <m/>
    <m/>
    <m/>
    <m/>
    <m/>
    <n v="1"/>
    <m/>
    <m/>
    <n v="21"/>
    <n v="21"/>
    <m/>
    <n v="0.125"/>
    <n v="2.625"/>
    <n v="948"/>
    <n v="0"/>
    <n v="2488.5"/>
  </r>
  <r>
    <s v="Mobilná aplikácia KSED"/>
    <x v="0"/>
    <s v="4. Mobilná aplikácia Podnety"/>
    <m/>
    <m/>
    <m/>
    <m/>
    <m/>
    <m/>
    <m/>
    <m/>
    <m/>
    <m/>
    <m/>
    <m/>
    <m/>
    <m/>
    <m/>
    <m/>
    <m/>
    <m/>
    <m/>
    <m/>
    <m/>
    <m/>
    <m/>
    <m/>
    <m/>
    <m/>
    <m/>
    <m/>
    <s v="Spolu MDs na modul"/>
    <n v="330.75"/>
    <m/>
    <m/>
    <m/>
  </r>
  <r>
    <s v="Mobilná aplikácia KSED"/>
    <x v="1"/>
    <s v="4.1 Analýza a návrh"/>
    <m/>
    <m/>
    <m/>
    <m/>
    <m/>
    <m/>
    <m/>
    <m/>
    <m/>
    <m/>
    <m/>
    <m/>
    <m/>
    <m/>
    <m/>
    <m/>
    <m/>
    <m/>
    <m/>
    <m/>
    <m/>
    <m/>
    <n v="1"/>
    <n v="1"/>
    <m/>
    <n v="42"/>
    <n v="42"/>
    <m/>
    <n v="0.125"/>
    <n v="5.25"/>
    <n v="888"/>
    <n v="0"/>
    <n v="4662"/>
  </r>
  <r>
    <s v="Mobilná aplikácia KSED"/>
    <x v="2"/>
    <s v="4.2 Vývoj"/>
    <m/>
    <m/>
    <m/>
    <m/>
    <m/>
    <m/>
    <m/>
    <m/>
    <m/>
    <m/>
    <m/>
    <m/>
    <m/>
    <m/>
    <m/>
    <m/>
    <m/>
    <m/>
    <m/>
    <m/>
    <m/>
    <m/>
    <n v="1"/>
    <n v="1"/>
    <m/>
    <n v="42"/>
    <n v="42"/>
    <m/>
    <n v="0.125"/>
    <n v="5.25"/>
    <n v="780"/>
    <n v="0"/>
    <n v="4095"/>
  </r>
  <r>
    <s v="Mobilná aplikácia KSED"/>
    <x v="3"/>
    <s v="4.3 Testovanie"/>
    <m/>
    <m/>
    <m/>
    <m/>
    <m/>
    <m/>
    <m/>
    <m/>
    <m/>
    <m/>
    <m/>
    <m/>
    <m/>
    <m/>
    <m/>
    <m/>
    <m/>
    <m/>
    <m/>
    <m/>
    <m/>
    <m/>
    <n v="1"/>
    <n v="1"/>
    <m/>
    <n v="42"/>
    <n v="42"/>
    <m/>
    <n v="0.125"/>
    <n v="5.25"/>
    <n v="684"/>
    <n v="0"/>
    <n v="3591"/>
  </r>
  <r>
    <s v="Mobilná aplikácia KSED"/>
    <x v="4"/>
    <s v="4.4 Dokumentácia"/>
    <m/>
    <m/>
    <m/>
    <m/>
    <m/>
    <m/>
    <m/>
    <m/>
    <m/>
    <m/>
    <m/>
    <m/>
    <m/>
    <m/>
    <m/>
    <m/>
    <m/>
    <m/>
    <m/>
    <m/>
    <m/>
    <m/>
    <m/>
    <n v="1"/>
    <m/>
    <n v="21"/>
    <n v="21"/>
    <m/>
    <n v="0.125"/>
    <n v="2.625"/>
    <n v="684"/>
    <n v="0"/>
    <n v="1795.5"/>
  </r>
  <r>
    <s v="Mobilná aplikácia KSED"/>
    <x v="6"/>
    <s v="4.5 Nasadenie do rutinnej prevádzky"/>
    <m/>
    <m/>
    <m/>
    <m/>
    <m/>
    <m/>
    <m/>
    <m/>
    <m/>
    <m/>
    <m/>
    <m/>
    <m/>
    <m/>
    <m/>
    <m/>
    <m/>
    <m/>
    <m/>
    <m/>
    <m/>
    <m/>
    <m/>
    <n v="1"/>
    <m/>
    <n v="21"/>
    <n v="21"/>
    <m/>
    <n v="0.125"/>
    <n v="2.625"/>
    <n v="948"/>
    <n v="0"/>
    <n v="2488.5"/>
  </r>
  <r>
    <s v="Spoločné komponenty"/>
    <x v="0"/>
    <s v="5. Integračné rozhrania a spoločné funkcionality"/>
    <m/>
    <m/>
    <m/>
    <m/>
    <m/>
    <m/>
    <m/>
    <m/>
    <m/>
    <m/>
    <m/>
    <m/>
    <m/>
    <m/>
    <m/>
    <m/>
    <m/>
    <m/>
    <m/>
    <m/>
    <m/>
    <m/>
    <m/>
    <m/>
    <m/>
    <m/>
    <m/>
    <m/>
    <s v="Spolu MDs na modul"/>
    <n v="21"/>
    <m/>
    <m/>
    <m/>
  </r>
  <r>
    <s v="Spoločné komponenty"/>
    <x v="1"/>
    <s v="5.1 Analýza a návrh"/>
    <m/>
    <m/>
    <m/>
    <m/>
    <m/>
    <m/>
    <m/>
    <m/>
    <n v="1"/>
    <n v="1"/>
    <n v="1"/>
    <n v="1"/>
    <n v="1"/>
    <n v="1"/>
    <n v="1"/>
    <n v="1"/>
    <n v="1"/>
    <n v="1"/>
    <n v="1"/>
    <n v="1"/>
    <m/>
    <m/>
    <m/>
    <m/>
    <m/>
    <n v="252"/>
    <n v="252"/>
    <m/>
    <n v="0.125"/>
    <n v="31.5"/>
    <n v="888"/>
    <n v="0"/>
    <n v="27972"/>
  </r>
  <r>
    <s v="Spoločné komponenty"/>
    <x v="2"/>
    <s v="5.2 Vývoj"/>
    <m/>
    <m/>
    <m/>
    <m/>
    <m/>
    <m/>
    <m/>
    <m/>
    <m/>
    <n v="1"/>
    <n v="1"/>
    <n v="1"/>
    <n v="1"/>
    <n v="1"/>
    <n v="1"/>
    <n v="1"/>
    <n v="1"/>
    <n v="1"/>
    <n v="1"/>
    <n v="1"/>
    <n v="1"/>
    <n v="1"/>
    <n v="1"/>
    <n v="1"/>
    <n v="1"/>
    <n v="336"/>
    <n v="336"/>
    <m/>
    <n v="0.5"/>
    <n v="168"/>
    <n v="780"/>
    <n v="0"/>
    <n v="131040"/>
  </r>
  <r>
    <s v="Spoločné komponenty"/>
    <x v="3"/>
    <s v="5.3 Testovanie"/>
    <m/>
    <m/>
    <m/>
    <m/>
    <m/>
    <m/>
    <m/>
    <m/>
    <m/>
    <m/>
    <m/>
    <n v="1"/>
    <n v="1"/>
    <m/>
    <m/>
    <m/>
    <n v="1"/>
    <n v="1"/>
    <m/>
    <m/>
    <m/>
    <n v="1"/>
    <m/>
    <m/>
    <n v="1"/>
    <n v="126"/>
    <n v="126"/>
    <m/>
    <n v="0.5"/>
    <n v="63"/>
    <n v="684"/>
    <n v="0"/>
    <n v="43092"/>
  </r>
  <r>
    <s v="Spoločné komponenty"/>
    <x v="4"/>
    <s v="5.4 Dokumentácia"/>
    <m/>
    <m/>
    <m/>
    <m/>
    <m/>
    <m/>
    <m/>
    <m/>
    <m/>
    <m/>
    <m/>
    <m/>
    <n v="1"/>
    <m/>
    <m/>
    <m/>
    <m/>
    <n v="1"/>
    <m/>
    <m/>
    <m/>
    <n v="1"/>
    <m/>
    <m/>
    <n v="1"/>
    <n v="84"/>
    <n v="84"/>
    <m/>
    <n v="0.125"/>
    <n v="10.5"/>
    <n v="684"/>
    <n v="0"/>
    <n v="7182"/>
  </r>
  <r>
    <s v="Spoločné komponenty"/>
    <x v="6"/>
    <s v="5.5 Nasadenie do rutinnej prevádzky"/>
    <m/>
    <m/>
    <m/>
    <m/>
    <m/>
    <m/>
    <m/>
    <m/>
    <m/>
    <m/>
    <m/>
    <m/>
    <n v="1"/>
    <m/>
    <m/>
    <m/>
    <m/>
    <n v="1"/>
    <m/>
    <m/>
    <m/>
    <n v="1"/>
    <m/>
    <m/>
    <n v="1"/>
    <n v="84"/>
    <n v="84"/>
    <m/>
    <n v="0.125"/>
    <n v="10.5"/>
    <n v="948"/>
    <n v="0"/>
    <n v="9954"/>
  </r>
  <r>
    <s v="Spoločné komponenty"/>
    <x v="1"/>
    <s v="5.6 Analýza a návrh - návrh a audit bezpečnostnej architektúry"/>
    <m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504"/>
    <n v="504"/>
    <m/>
    <n v="0.2"/>
    <n v="100.80000000000001"/>
    <n v="1440"/>
    <n v="0"/>
    <n v="145152.00000000003"/>
  </r>
  <r>
    <s v="Spoločné komponenty"/>
    <x v="1"/>
    <s v="5.7 Analýza a návrh - IT dohľad (quality assurance)"/>
    <m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504"/>
    <n v="504"/>
    <m/>
    <n v="0.5"/>
    <n v="252"/>
    <n v="1068"/>
    <n v="0"/>
    <n v="269136"/>
  </r>
  <r>
    <s v="Spoločné komponenty"/>
    <x v="6"/>
    <s v="5.8 Školenia"/>
    <m/>
    <m/>
    <m/>
    <m/>
    <m/>
    <m/>
    <m/>
    <m/>
    <m/>
    <m/>
    <m/>
    <m/>
    <m/>
    <m/>
    <m/>
    <m/>
    <m/>
    <m/>
    <m/>
    <m/>
    <n v="1"/>
    <n v="1"/>
    <n v="1"/>
    <n v="1"/>
    <n v="1"/>
    <n v="105"/>
    <n v="105"/>
    <m/>
    <n v="0.5"/>
    <n v="52.5"/>
    <n v="852"/>
    <n v="0"/>
    <n v="44730"/>
  </r>
  <r>
    <s v="Spoločné komponenty"/>
    <x v="0"/>
    <s v="Podporné aktivity"/>
    <m/>
    <m/>
    <m/>
    <m/>
    <m/>
    <m/>
    <m/>
    <m/>
    <m/>
    <m/>
    <m/>
    <m/>
    <m/>
    <m/>
    <m/>
    <m/>
    <m/>
    <m/>
    <m/>
    <m/>
    <m/>
    <m/>
    <m/>
    <m/>
    <m/>
    <m/>
    <m/>
    <m/>
    <s v="Spolu MDs na modul"/>
    <n v="636.29999999999995"/>
    <m/>
    <m/>
    <m/>
  </r>
  <r>
    <s v="Spoločné komponenty"/>
    <x v="7"/>
    <s v="6.1 Projektové riadenie "/>
    <m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504"/>
    <n v="504"/>
    <m/>
    <n v="1"/>
    <n v="504"/>
    <n v="1068"/>
    <n v="0"/>
    <n v="53827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C101:D110" firstHeaderRow="1" firstDataRow="1" firstDataCol="1"/>
  <pivotFields count="36">
    <pivotField showAll="0"/>
    <pivotField axis="axisRow" showAll="0">
      <items count="15">
        <item m="1" x="8"/>
        <item x="1"/>
        <item x="4"/>
        <item m="1" x="13"/>
        <item x="5"/>
        <item m="1" x="11"/>
        <item m="1" x="10"/>
        <item x="6"/>
        <item x="7"/>
        <item m="1" x="12"/>
        <item x="3"/>
        <item m="1" x="9"/>
        <item x="2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1"/>
  </rowFields>
  <rowItems count="9">
    <i>
      <x v="1"/>
    </i>
    <i>
      <x v="2"/>
    </i>
    <i>
      <x v="4"/>
    </i>
    <i>
      <x v="7"/>
    </i>
    <i>
      <x v="8"/>
    </i>
    <i>
      <x v="10"/>
    </i>
    <i>
      <x v="12"/>
    </i>
    <i>
      <x v="13"/>
    </i>
    <i t="grand">
      <x/>
    </i>
  </rowItems>
  <colItems count="1">
    <i/>
  </colItems>
  <dataFields count="1">
    <dataField name="Sum of Suma externé (s DPH)" fld="3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ivotTable" Target="../pivotTables/pivotTable1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R46"/>
  <sheetViews>
    <sheetView showGridLines="0" topLeftCell="A16" zoomScaleNormal="100" workbookViewId="0"/>
  </sheetViews>
  <sheetFormatPr defaultColWidth="8.88671875" defaultRowHeight="14.4" x14ac:dyDescent="0.3"/>
  <cols>
    <col min="2" max="2" width="11.6640625" customWidth="1"/>
    <col min="4" max="4" width="6.44140625" customWidth="1"/>
    <col min="6" max="6" width="7.6640625" customWidth="1"/>
    <col min="7" max="7" width="12.33203125" customWidth="1"/>
    <col min="8" max="8" width="6" customWidth="1"/>
    <col min="9" max="9" width="14.33203125" customWidth="1"/>
  </cols>
  <sheetData>
    <row r="1" spans="1:18" x14ac:dyDescent="0.3">
      <c r="A1" s="36"/>
      <c r="B1" s="36"/>
      <c r="C1" s="36"/>
      <c r="D1" s="36"/>
      <c r="E1" s="36"/>
      <c r="F1" s="36"/>
      <c r="G1" s="36"/>
      <c r="H1" s="36"/>
      <c r="I1" s="36"/>
      <c r="J1" s="263"/>
      <c r="K1" s="264"/>
      <c r="L1" s="264"/>
      <c r="M1" s="264"/>
      <c r="N1" s="264"/>
      <c r="O1" s="264"/>
      <c r="P1" s="264"/>
      <c r="Q1" s="264"/>
      <c r="R1" s="264"/>
    </row>
    <row r="2" spans="1:18" x14ac:dyDescent="0.3">
      <c r="A2" s="36"/>
      <c r="B2" s="36"/>
      <c r="C2" s="36"/>
      <c r="D2" s="36"/>
      <c r="E2" s="36"/>
      <c r="F2" s="36"/>
      <c r="G2" s="36"/>
      <c r="H2" s="36"/>
      <c r="I2" s="36"/>
      <c r="J2" s="264"/>
      <c r="K2" s="264"/>
      <c r="L2" s="264"/>
      <c r="M2" s="264"/>
      <c r="N2" s="264"/>
      <c r="O2" s="264"/>
      <c r="P2" s="264"/>
      <c r="Q2" s="264"/>
      <c r="R2" s="264"/>
    </row>
    <row r="3" spans="1:18" ht="15" customHeight="1" x14ac:dyDescent="0.3">
      <c r="A3" s="36"/>
      <c r="B3" s="36"/>
      <c r="C3" s="36"/>
      <c r="D3" s="36"/>
      <c r="E3" s="36"/>
      <c r="F3" s="36"/>
      <c r="G3" s="36"/>
      <c r="H3" s="36"/>
      <c r="I3" s="36"/>
      <c r="J3" s="264"/>
      <c r="K3" s="264"/>
      <c r="L3" s="264"/>
      <c r="M3" s="264"/>
      <c r="N3" s="264"/>
      <c r="O3" s="264"/>
      <c r="P3" s="264"/>
      <c r="Q3" s="264"/>
      <c r="R3" s="264"/>
    </row>
    <row r="4" spans="1:18" ht="15" customHeight="1" x14ac:dyDescent="0.3">
      <c r="A4" s="36"/>
      <c r="B4" s="36"/>
      <c r="C4" s="36"/>
      <c r="D4" s="36"/>
      <c r="E4" s="36"/>
      <c r="F4" s="36"/>
      <c r="G4" s="36"/>
      <c r="H4" s="36"/>
      <c r="I4" s="36"/>
      <c r="J4" s="264"/>
      <c r="K4" s="264"/>
      <c r="L4" s="264"/>
      <c r="M4" s="264"/>
      <c r="N4" s="264"/>
      <c r="O4" s="264"/>
      <c r="P4" s="264"/>
      <c r="Q4" s="264"/>
      <c r="R4" s="264"/>
    </row>
    <row r="5" spans="1:18" x14ac:dyDescent="0.3">
      <c r="A5" s="36"/>
      <c r="B5" s="36"/>
      <c r="C5" s="36"/>
      <c r="D5" s="36"/>
      <c r="E5" s="36"/>
      <c r="F5" s="36"/>
      <c r="G5" s="36"/>
      <c r="H5" s="36"/>
      <c r="I5" s="36"/>
      <c r="J5" s="264"/>
      <c r="K5" s="264"/>
      <c r="L5" s="264"/>
      <c r="M5" s="264"/>
      <c r="N5" s="264"/>
      <c r="O5" s="264"/>
      <c r="P5" s="264"/>
      <c r="Q5" s="264"/>
      <c r="R5" s="264"/>
    </row>
    <row r="6" spans="1:18" ht="62.1" customHeight="1" x14ac:dyDescent="0.6">
      <c r="A6" s="1081" t="s">
        <v>111</v>
      </c>
      <c r="B6" s="1081"/>
      <c r="C6" s="1081"/>
      <c r="D6" s="1081"/>
      <c r="E6" s="1081"/>
      <c r="F6" s="1081"/>
      <c r="G6" s="1081"/>
      <c r="H6" s="1081"/>
      <c r="I6" s="1081"/>
      <c r="J6" s="264"/>
      <c r="K6" s="264"/>
      <c r="L6" s="264"/>
      <c r="M6" s="264"/>
      <c r="N6" s="264"/>
      <c r="O6" s="264"/>
      <c r="P6" s="264"/>
      <c r="Q6" s="264"/>
      <c r="R6" s="264"/>
    </row>
    <row r="7" spans="1:18" ht="18.75" customHeight="1" x14ac:dyDescent="0.35">
      <c r="A7" s="1060" t="s">
        <v>65</v>
      </c>
      <c r="B7" s="1060"/>
      <c r="C7" s="1060"/>
      <c r="D7" s="1060"/>
      <c r="E7" s="1060"/>
      <c r="F7" s="1060"/>
      <c r="G7" s="1060"/>
      <c r="H7" s="1060"/>
      <c r="I7" s="1060"/>
      <c r="J7" s="264"/>
      <c r="K7" s="264"/>
      <c r="L7" s="264"/>
      <c r="M7" s="264"/>
      <c r="N7" s="264"/>
      <c r="O7" s="264"/>
      <c r="P7" s="264"/>
      <c r="Q7" s="264"/>
      <c r="R7" s="264"/>
    </row>
    <row r="8" spans="1:18" x14ac:dyDescent="0.3">
      <c r="A8" s="1082" t="s">
        <v>60</v>
      </c>
      <c r="B8" s="1082"/>
      <c r="C8" s="1082"/>
      <c r="D8" s="1082"/>
      <c r="E8" s="1082"/>
      <c r="F8" s="1082"/>
      <c r="G8" s="1082"/>
      <c r="H8" s="1082"/>
      <c r="I8" s="1082"/>
      <c r="J8" s="264"/>
      <c r="K8" s="264"/>
      <c r="L8" s="264"/>
      <c r="M8" s="264"/>
      <c r="N8" s="264"/>
      <c r="O8" s="264"/>
      <c r="P8" s="264"/>
      <c r="Q8" s="264"/>
      <c r="R8" s="264"/>
    </row>
    <row r="9" spans="1:18" ht="15" customHeight="1" x14ac:dyDescent="0.3">
      <c r="A9" s="1082"/>
      <c r="B9" s="1082"/>
      <c r="C9" s="1082"/>
      <c r="D9" s="1082"/>
      <c r="E9" s="1082"/>
      <c r="F9" s="1082"/>
      <c r="G9" s="1082"/>
      <c r="H9" s="1082"/>
      <c r="I9" s="1082"/>
      <c r="J9" s="264"/>
      <c r="K9" s="264"/>
      <c r="L9" s="264"/>
      <c r="M9" s="264"/>
      <c r="N9" s="264"/>
      <c r="O9" s="264"/>
      <c r="P9" s="264"/>
      <c r="Q9" s="264"/>
      <c r="R9" s="264"/>
    </row>
    <row r="10" spans="1:18" ht="48.6" customHeight="1" x14ac:dyDescent="0.3">
      <c r="A10" s="1082"/>
      <c r="B10" s="1082"/>
      <c r="C10" s="1082"/>
      <c r="D10" s="1082"/>
      <c r="E10" s="1082"/>
      <c r="F10" s="1082"/>
      <c r="G10" s="1082"/>
      <c r="H10" s="1082"/>
      <c r="I10" s="1082"/>
      <c r="J10" s="264"/>
      <c r="K10" s="264"/>
      <c r="L10" s="264"/>
      <c r="M10" s="264"/>
      <c r="N10" s="264"/>
      <c r="O10" s="264"/>
      <c r="P10" s="264"/>
      <c r="Q10" s="264"/>
      <c r="R10" s="264"/>
    </row>
    <row r="11" spans="1:18" ht="15" customHeight="1" x14ac:dyDescent="0.3">
      <c r="A11" s="36"/>
      <c r="B11" s="36"/>
      <c r="C11" s="36"/>
      <c r="D11" s="36"/>
      <c r="E11" s="36"/>
      <c r="F11" s="36"/>
      <c r="G11" s="36"/>
      <c r="H11" s="36"/>
      <c r="I11" s="36"/>
      <c r="J11" s="264"/>
      <c r="K11" s="264"/>
      <c r="L11" s="264"/>
      <c r="M11" s="264"/>
      <c r="N11" s="264"/>
      <c r="O11" s="264"/>
      <c r="P11" s="264"/>
      <c r="Q11" s="264"/>
      <c r="R11" s="264"/>
    </row>
    <row r="12" spans="1:18" x14ac:dyDescent="0.3">
      <c r="A12" s="36"/>
      <c r="B12" s="36"/>
      <c r="C12" s="36"/>
      <c r="D12" s="36"/>
      <c r="E12" s="36"/>
      <c r="F12" s="36"/>
      <c r="G12" s="36"/>
      <c r="H12" s="36"/>
      <c r="I12" s="36"/>
      <c r="J12" s="264"/>
      <c r="K12" s="264"/>
      <c r="L12" s="264"/>
      <c r="M12" s="264"/>
      <c r="N12" s="264"/>
      <c r="O12" s="264"/>
      <c r="P12" s="264"/>
      <c r="Q12" s="264"/>
      <c r="R12" s="264"/>
    </row>
    <row r="13" spans="1:18" x14ac:dyDescent="0.3">
      <c r="A13" s="36"/>
      <c r="B13" s="36"/>
      <c r="C13" s="36"/>
      <c r="D13" s="36"/>
      <c r="E13" s="36"/>
      <c r="F13" s="36"/>
      <c r="G13" s="36"/>
      <c r="H13" s="36"/>
      <c r="I13" s="36"/>
      <c r="J13" s="264"/>
      <c r="K13" s="264"/>
      <c r="L13" s="264"/>
      <c r="M13" s="264"/>
      <c r="N13" s="264"/>
      <c r="O13" s="264"/>
      <c r="P13" s="264"/>
      <c r="Q13" s="264"/>
      <c r="R13" s="264"/>
    </row>
    <row r="14" spans="1:18" x14ac:dyDescent="0.3">
      <c r="A14" s="36"/>
      <c r="B14" s="36"/>
      <c r="C14" s="36"/>
      <c r="D14" s="36"/>
      <c r="E14" s="36"/>
      <c r="F14" s="36"/>
      <c r="G14" s="36"/>
      <c r="H14" s="36"/>
      <c r="I14" s="36"/>
      <c r="J14" s="264"/>
      <c r="K14" s="264"/>
      <c r="L14" s="264"/>
      <c r="M14" s="264"/>
      <c r="N14" s="264"/>
      <c r="O14" s="264"/>
      <c r="P14" s="264"/>
      <c r="Q14" s="264"/>
      <c r="R14" s="264"/>
    </row>
    <row r="15" spans="1:18" x14ac:dyDescent="0.3">
      <c r="A15" s="36"/>
      <c r="B15" s="36"/>
      <c r="C15" s="36"/>
      <c r="D15" s="36"/>
      <c r="E15" s="36"/>
      <c r="F15" s="36"/>
      <c r="G15" s="36"/>
      <c r="H15" s="36"/>
      <c r="I15" s="36"/>
      <c r="J15" s="264"/>
      <c r="K15" s="264"/>
      <c r="L15" s="264"/>
      <c r="M15" s="264"/>
      <c r="N15" s="264"/>
      <c r="O15" s="264"/>
      <c r="P15" s="264"/>
      <c r="Q15" s="264"/>
      <c r="R15" s="264"/>
    </row>
    <row r="16" spans="1:18" x14ac:dyDescent="0.3">
      <c r="B16" s="36"/>
      <c r="C16" s="36"/>
      <c r="D16" s="36"/>
      <c r="E16" s="36"/>
      <c r="F16" s="36"/>
      <c r="G16" s="36"/>
      <c r="H16" s="36"/>
      <c r="I16" s="36"/>
      <c r="J16" s="264"/>
      <c r="K16" s="264"/>
      <c r="L16" s="264"/>
      <c r="M16" s="264"/>
      <c r="N16" s="264"/>
      <c r="O16" s="264"/>
      <c r="P16" s="264"/>
      <c r="Q16" s="264"/>
      <c r="R16" s="264"/>
    </row>
    <row r="17" spans="1:18" x14ac:dyDescent="0.3">
      <c r="B17" s="36"/>
      <c r="C17" s="36"/>
      <c r="D17" s="36"/>
      <c r="E17" s="36"/>
      <c r="F17" s="36"/>
      <c r="G17" s="36"/>
      <c r="H17" s="36"/>
      <c r="I17" s="36"/>
      <c r="J17" s="264"/>
      <c r="K17" s="264"/>
      <c r="L17" s="264"/>
      <c r="M17" s="264"/>
      <c r="N17" s="264"/>
      <c r="O17" s="264"/>
      <c r="P17" s="264"/>
      <c r="Q17" s="264"/>
      <c r="R17" s="264"/>
    </row>
    <row r="18" spans="1:18" ht="15" thickBot="1" x14ac:dyDescent="0.35">
      <c r="B18" s="36"/>
      <c r="C18" s="36"/>
      <c r="D18" s="36"/>
      <c r="E18" s="36"/>
      <c r="F18" s="36"/>
      <c r="G18" s="36"/>
      <c r="H18" s="36"/>
      <c r="I18" s="36"/>
      <c r="J18" s="264"/>
      <c r="K18" s="264"/>
      <c r="L18" s="264"/>
      <c r="M18" s="264"/>
      <c r="N18" s="264"/>
      <c r="O18" s="264"/>
      <c r="P18" s="264"/>
      <c r="Q18" s="264"/>
      <c r="R18" s="264"/>
    </row>
    <row r="19" spans="1:18" x14ac:dyDescent="0.3">
      <c r="A19" s="1083" t="s">
        <v>112</v>
      </c>
      <c r="B19" s="1084"/>
      <c r="C19" s="1085" t="s">
        <v>308</v>
      </c>
      <c r="D19" s="1085"/>
      <c r="E19" s="1085"/>
      <c r="F19" s="1085"/>
      <c r="G19" s="1085"/>
      <c r="H19" s="1085"/>
      <c r="I19" s="1086"/>
      <c r="J19" s="264"/>
      <c r="K19" s="264"/>
      <c r="L19" s="264"/>
      <c r="M19" s="264"/>
      <c r="N19" s="264"/>
      <c r="O19" s="264"/>
      <c r="P19" s="264"/>
      <c r="Q19" s="264"/>
      <c r="R19" s="264"/>
    </row>
    <row r="20" spans="1:18" x14ac:dyDescent="0.3">
      <c r="A20" s="1061" t="s">
        <v>115</v>
      </c>
      <c r="B20" s="1062"/>
      <c r="C20" s="1077"/>
      <c r="D20" s="1077"/>
      <c r="E20" s="1077"/>
      <c r="F20" s="1077"/>
      <c r="G20" s="1077"/>
      <c r="H20" s="1077"/>
      <c r="I20" s="1078"/>
      <c r="J20" s="264"/>
      <c r="K20" s="264"/>
      <c r="L20" s="264"/>
      <c r="M20" s="264"/>
      <c r="N20" s="264"/>
      <c r="O20" s="264"/>
      <c r="P20" s="264"/>
      <c r="Q20" s="264"/>
      <c r="R20" s="264"/>
    </row>
    <row r="21" spans="1:18" x14ac:dyDescent="0.3">
      <c r="A21" s="1061" t="s">
        <v>114</v>
      </c>
      <c r="B21" s="1062"/>
      <c r="C21" s="1077"/>
      <c r="D21" s="1077"/>
      <c r="E21" s="1077"/>
      <c r="F21" s="1077"/>
      <c r="G21" s="1077"/>
      <c r="H21" s="1077"/>
      <c r="I21" s="1078"/>
      <c r="J21" s="264"/>
      <c r="K21" s="264"/>
      <c r="L21" s="264"/>
      <c r="M21" s="264"/>
      <c r="N21" s="264"/>
      <c r="O21" s="264"/>
      <c r="P21" s="264"/>
      <c r="Q21" s="264"/>
      <c r="R21" s="264"/>
    </row>
    <row r="22" spans="1:18" ht="14.4" customHeight="1" x14ac:dyDescent="0.3">
      <c r="A22" s="1061" t="s">
        <v>51</v>
      </c>
      <c r="B22" s="1062"/>
      <c r="C22" s="1077" t="s">
        <v>309</v>
      </c>
      <c r="D22" s="1077"/>
      <c r="E22" s="1077"/>
      <c r="F22" s="1077"/>
      <c r="G22" s="1077"/>
      <c r="H22" s="1077"/>
      <c r="I22" s="1078"/>
      <c r="J22" s="264"/>
      <c r="K22" s="264"/>
      <c r="L22" s="264"/>
      <c r="M22" s="264"/>
      <c r="N22" s="264"/>
      <c r="O22" s="264"/>
      <c r="P22" s="264"/>
      <c r="Q22" s="264"/>
      <c r="R22" s="264"/>
    </row>
    <row r="23" spans="1:18" x14ac:dyDescent="0.3">
      <c r="A23" s="1061" t="s">
        <v>52</v>
      </c>
      <c r="B23" s="1062"/>
      <c r="C23" s="1077" t="s">
        <v>310</v>
      </c>
      <c r="D23" s="1077"/>
      <c r="E23" s="1077"/>
      <c r="F23" s="1077"/>
      <c r="G23" s="1077"/>
      <c r="H23" s="1077"/>
      <c r="I23" s="1078"/>
      <c r="J23" s="264"/>
      <c r="K23" s="264"/>
      <c r="L23" s="264"/>
      <c r="M23" s="264"/>
      <c r="N23" s="264"/>
      <c r="O23" s="264"/>
      <c r="P23" s="264"/>
      <c r="Q23" s="264"/>
      <c r="R23" s="264"/>
    </row>
    <row r="24" spans="1:18" x14ac:dyDescent="0.3">
      <c r="A24" s="1061" t="s">
        <v>53</v>
      </c>
      <c r="B24" s="1062"/>
      <c r="C24" s="1077" t="s">
        <v>311</v>
      </c>
      <c r="D24" s="1077"/>
      <c r="E24" s="1077"/>
      <c r="F24" s="1077"/>
      <c r="G24" s="1077"/>
      <c r="H24" s="1077"/>
      <c r="I24" s="1078"/>
      <c r="J24" s="264"/>
      <c r="K24" s="264"/>
      <c r="L24" s="264"/>
      <c r="M24" s="264"/>
      <c r="N24" s="264"/>
      <c r="O24" s="264"/>
      <c r="P24" s="264"/>
      <c r="Q24" s="264"/>
      <c r="R24" s="264"/>
    </row>
    <row r="25" spans="1:18" x14ac:dyDescent="0.3">
      <c r="A25" s="1061" t="s">
        <v>54</v>
      </c>
      <c r="B25" s="1062"/>
      <c r="C25" s="1077" t="s">
        <v>312</v>
      </c>
      <c r="D25" s="1077"/>
      <c r="E25" s="1077"/>
      <c r="F25" s="1077"/>
      <c r="G25" s="1077"/>
      <c r="H25" s="1077"/>
      <c r="I25" s="1078"/>
      <c r="J25" s="264"/>
      <c r="K25" s="264"/>
      <c r="L25" s="264"/>
      <c r="M25" s="264"/>
      <c r="N25" s="264"/>
      <c r="O25" s="264"/>
      <c r="P25" s="264"/>
      <c r="Q25" s="264"/>
      <c r="R25" s="264"/>
    </row>
    <row r="26" spans="1:18" x14ac:dyDescent="0.3">
      <c r="A26" s="1061" t="s">
        <v>55</v>
      </c>
      <c r="B26" s="1062"/>
      <c r="C26" s="1079" t="s">
        <v>313</v>
      </c>
      <c r="D26" s="1079"/>
      <c r="E26" s="1079"/>
      <c r="F26" s="1079"/>
      <c r="G26" s="1079"/>
      <c r="H26" s="1079"/>
      <c r="I26" s="1080"/>
      <c r="J26" s="264"/>
      <c r="K26" s="264"/>
      <c r="L26" s="264"/>
      <c r="M26" s="264"/>
      <c r="N26" s="264"/>
      <c r="O26" s="264"/>
      <c r="P26" s="264"/>
      <c r="Q26" s="264"/>
      <c r="R26" s="264"/>
    </row>
    <row r="27" spans="1:18" ht="19.350000000000001" customHeight="1" x14ac:dyDescent="0.3">
      <c r="A27" s="1061" t="s">
        <v>56</v>
      </c>
      <c r="B27" s="1062"/>
      <c r="C27" s="1063" t="s">
        <v>314</v>
      </c>
      <c r="D27" s="1063"/>
      <c r="E27" s="1063"/>
      <c r="F27" s="1063"/>
      <c r="G27" s="1063"/>
      <c r="H27" s="1063"/>
      <c r="I27" s="1064"/>
      <c r="J27" s="264"/>
      <c r="K27" s="264"/>
      <c r="L27" s="264"/>
      <c r="M27" s="264"/>
      <c r="N27" s="264"/>
      <c r="O27" s="264"/>
      <c r="P27" s="264"/>
      <c r="Q27" s="264"/>
      <c r="R27" s="264"/>
    </row>
    <row r="28" spans="1:18" ht="33" customHeight="1" thickBot="1" x14ac:dyDescent="0.35">
      <c r="A28" s="1065" t="s">
        <v>57</v>
      </c>
      <c r="B28" s="1066"/>
      <c r="C28" s="1067"/>
      <c r="D28" s="1067"/>
      <c r="E28" s="1067"/>
      <c r="F28" s="1067"/>
      <c r="G28" s="1067"/>
      <c r="H28" s="1067"/>
      <c r="I28" s="1068"/>
      <c r="J28" s="264"/>
      <c r="K28" s="264"/>
      <c r="L28" s="264"/>
      <c r="M28" s="264"/>
      <c r="N28" s="264"/>
      <c r="O28" s="264"/>
      <c r="P28" s="264"/>
      <c r="Q28" s="264"/>
      <c r="R28" s="264"/>
    </row>
    <row r="29" spans="1:18" x14ac:dyDescent="0.3">
      <c r="A29" s="36"/>
      <c r="B29" s="36"/>
      <c r="C29" s="36"/>
      <c r="D29" s="36"/>
      <c r="E29" s="36"/>
      <c r="F29" s="36"/>
      <c r="G29" s="36"/>
      <c r="H29" s="36"/>
      <c r="I29" s="36"/>
      <c r="J29" s="264"/>
      <c r="K29" s="264"/>
      <c r="L29" s="264"/>
      <c r="M29" s="264"/>
      <c r="N29" s="264"/>
      <c r="O29" s="264"/>
      <c r="P29" s="264"/>
      <c r="Q29" s="264"/>
      <c r="R29" s="264"/>
    </row>
    <row r="30" spans="1:18" ht="15" thickBot="1" x14ac:dyDescent="0.35">
      <c r="A30" s="1069" t="s">
        <v>61</v>
      </c>
      <c r="B30" s="1069"/>
      <c r="C30" s="1069"/>
      <c r="D30" s="1069"/>
      <c r="E30" s="1069"/>
      <c r="F30" s="1069"/>
      <c r="G30" s="1069"/>
      <c r="H30" s="1069"/>
      <c r="I30" s="1069"/>
      <c r="J30" s="264"/>
      <c r="K30" s="264"/>
      <c r="L30" s="264"/>
      <c r="M30" s="264"/>
      <c r="N30" s="264"/>
      <c r="O30" s="264"/>
      <c r="P30" s="264"/>
      <c r="Q30" s="264"/>
      <c r="R30" s="264"/>
    </row>
    <row r="31" spans="1:18" ht="14.4" customHeight="1" x14ac:dyDescent="0.3">
      <c r="A31" s="1070" t="s">
        <v>58</v>
      </c>
      <c r="B31" s="1071"/>
      <c r="C31" s="1054" t="s">
        <v>59</v>
      </c>
      <c r="D31" s="1054"/>
      <c r="E31" s="1075" t="s">
        <v>62</v>
      </c>
      <c r="F31" s="1075"/>
      <c r="G31" s="1056" t="s">
        <v>63</v>
      </c>
      <c r="H31" s="1056"/>
      <c r="I31" s="1058" t="s">
        <v>64</v>
      </c>
      <c r="J31" s="264"/>
      <c r="K31" s="264"/>
      <c r="L31" s="264"/>
      <c r="M31" s="264"/>
      <c r="N31" s="264"/>
      <c r="O31" s="264"/>
      <c r="P31" s="264"/>
      <c r="Q31" s="264"/>
      <c r="R31" s="264"/>
    </row>
    <row r="32" spans="1:18" ht="15" thickBot="1" x14ac:dyDescent="0.35">
      <c r="A32" s="1072"/>
      <c r="B32" s="1073"/>
      <c r="C32" s="1074"/>
      <c r="D32" s="1074"/>
      <c r="E32" s="1076"/>
      <c r="F32" s="1076"/>
      <c r="G32" s="1057"/>
      <c r="H32" s="1057"/>
      <c r="I32" s="1059"/>
      <c r="J32" s="264"/>
      <c r="K32" s="264"/>
      <c r="L32" s="264"/>
      <c r="M32" s="264"/>
      <c r="N32" s="264"/>
      <c r="O32" s="264"/>
      <c r="P32" s="264"/>
      <c r="Q32" s="264"/>
      <c r="R32" s="264"/>
    </row>
    <row r="33" spans="1:18" x14ac:dyDescent="0.3">
      <c r="A33" s="1054"/>
      <c r="B33" s="1054"/>
      <c r="C33" s="1054"/>
      <c r="D33" s="1054"/>
      <c r="E33" s="1054"/>
      <c r="F33" s="1054"/>
      <c r="G33" s="1054"/>
      <c r="H33" s="1054"/>
      <c r="I33" s="1054"/>
      <c r="J33" s="264"/>
      <c r="K33" s="264"/>
      <c r="L33" s="264"/>
      <c r="M33" s="264"/>
      <c r="N33" s="264"/>
      <c r="O33" s="264"/>
      <c r="P33" s="264"/>
      <c r="Q33" s="264"/>
      <c r="R33" s="264"/>
    </row>
    <row r="34" spans="1:18" x14ac:dyDescent="0.3">
      <c r="A34" s="1055"/>
      <c r="B34" s="1055"/>
      <c r="C34" s="1055"/>
      <c r="D34" s="1055"/>
      <c r="E34" s="1055"/>
      <c r="F34" s="1055"/>
      <c r="G34" s="1055"/>
      <c r="H34" s="1055"/>
      <c r="I34" s="1055"/>
      <c r="J34" s="264"/>
      <c r="K34" s="264"/>
      <c r="L34" s="264"/>
      <c r="M34" s="264"/>
      <c r="N34" s="264"/>
      <c r="O34" s="264"/>
      <c r="P34" s="264"/>
      <c r="Q34" s="264"/>
      <c r="R34" s="264"/>
    </row>
    <row r="35" spans="1:18" x14ac:dyDescent="0.3">
      <c r="A35" s="1055"/>
      <c r="B35" s="1055"/>
      <c r="C35" s="1055"/>
      <c r="D35" s="1055"/>
      <c r="E35" s="1055"/>
      <c r="F35" s="1055"/>
      <c r="G35" s="1055"/>
      <c r="H35" s="1055"/>
      <c r="I35" s="1055"/>
      <c r="J35" s="264"/>
      <c r="K35" s="264"/>
      <c r="L35" s="264"/>
      <c r="M35" s="264"/>
      <c r="N35" s="264"/>
      <c r="O35" s="264"/>
      <c r="P35" s="264"/>
      <c r="Q35" s="264"/>
      <c r="R35" s="264"/>
    </row>
    <row r="36" spans="1:18" x14ac:dyDescent="0.3">
      <c r="A36" s="82"/>
      <c r="B36" s="82"/>
      <c r="C36" s="36"/>
      <c r="D36" s="36"/>
      <c r="E36" s="36"/>
      <c r="F36" s="36"/>
      <c r="G36" s="36"/>
      <c r="H36" s="36"/>
      <c r="I36" s="36"/>
      <c r="J36" s="264"/>
      <c r="K36" s="264"/>
      <c r="L36" s="264"/>
      <c r="M36" s="264"/>
      <c r="N36" s="264"/>
      <c r="O36" s="264"/>
      <c r="P36" s="264"/>
      <c r="Q36" s="264"/>
      <c r="R36" s="264"/>
    </row>
    <row r="37" spans="1:18" x14ac:dyDescent="0.3">
      <c r="A37" s="36"/>
      <c r="B37" s="36"/>
      <c r="C37" s="36"/>
      <c r="D37" s="36"/>
      <c r="E37" s="36"/>
      <c r="F37" s="36"/>
      <c r="G37" s="36"/>
      <c r="H37" s="36"/>
      <c r="I37" s="36"/>
      <c r="J37" s="264"/>
      <c r="K37" s="264"/>
      <c r="L37" s="264"/>
      <c r="M37" s="264"/>
      <c r="N37" s="264"/>
      <c r="O37" s="264"/>
      <c r="P37" s="264"/>
      <c r="Q37" s="264"/>
      <c r="R37" s="264"/>
    </row>
    <row r="38" spans="1:18" x14ac:dyDescent="0.3">
      <c r="A38" s="36"/>
      <c r="B38" s="36"/>
      <c r="C38" s="36"/>
      <c r="D38" s="36"/>
      <c r="E38" s="36"/>
      <c r="F38" s="36"/>
      <c r="G38" s="36"/>
      <c r="H38" s="36"/>
      <c r="I38" s="36"/>
      <c r="J38" s="264"/>
      <c r="K38" s="264"/>
      <c r="L38" s="264"/>
      <c r="M38" s="264"/>
      <c r="N38" s="264"/>
      <c r="O38" s="264"/>
      <c r="P38" s="264"/>
      <c r="Q38" s="264"/>
      <c r="R38" s="264"/>
    </row>
    <row r="39" spans="1:18" x14ac:dyDescent="0.3">
      <c r="A39" s="36"/>
      <c r="B39" s="36"/>
      <c r="C39" s="36"/>
      <c r="D39" s="36"/>
      <c r="E39" s="36"/>
      <c r="F39" s="36"/>
      <c r="G39" s="36"/>
      <c r="H39" s="36"/>
      <c r="I39" s="36"/>
      <c r="J39" s="264"/>
      <c r="K39" s="264"/>
      <c r="L39" s="264"/>
      <c r="M39" s="264"/>
      <c r="N39" s="264"/>
      <c r="O39" s="264"/>
      <c r="P39" s="264"/>
      <c r="Q39" s="264"/>
      <c r="R39" s="264"/>
    </row>
    <row r="40" spans="1:18" x14ac:dyDescent="0.3">
      <c r="A40" s="36"/>
      <c r="B40" s="36"/>
      <c r="C40" s="36"/>
      <c r="D40" s="36"/>
      <c r="E40" s="36"/>
      <c r="F40" s="36"/>
      <c r="G40" s="36"/>
      <c r="H40" s="36"/>
      <c r="I40" s="36"/>
      <c r="J40" s="264"/>
      <c r="K40" s="264"/>
      <c r="L40" s="264"/>
      <c r="M40" s="264"/>
      <c r="N40" s="264"/>
      <c r="O40" s="264"/>
      <c r="P40" s="264"/>
      <c r="Q40" s="264"/>
      <c r="R40" s="264"/>
    </row>
    <row r="41" spans="1:18" x14ac:dyDescent="0.3">
      <c r="A41" s="36"/>
      <c r="B41" s="36"/>
      <c r="C41" s="36"/>
      <c r="D41" s="36"/>
      <c r="E41" s="36"/>
      <c r="F41" s="36"/>
      <c r="G41" s="36"/>
      <c r="H41" s="36"/>
      <c r="I41" s="36"/>
      <c r="J41" s="264"/>
      <c r="K41" s="264"/>
      <c r="L41" s="264"/>
      <c r="M41" s="264"/>
      <c r="N41" s="264"/>
      <c r="O41" s="264"/>
      <c r="P41" s="264"/>
      <c r="Q41" s="264"/>
      <c r="R41" s="264"/>
    </row>
    <row r="42" spans="1:18" x14ac:dyDescent="0.3">
      <c r="A42" s="36"/>
      <c r="B42" s="36"/>
      <c r="C42" s="36"/>
      <c r="D42" s="36"/>
      <c r="E42" s="36"/>
      <c r="F42" s="36"/>
      <c r="G42" s="36"/>
      <c r="H42" s="36"/>
      <c r="I42" s="36"/>
      <c r="J42" s="264"/>
      <c r="K42" s="264"/>
      <c r="L42" s="264"/>
      <c r="M42" s="264"/>
      <c r="N42" s="264"/>
      <c r="O42" s="264"/>
      <c r="P42" s="264"/>
      <c r="Q42" s="264"/>
      <c r="R42" s="264"/>
    </row>
    <row r="43" spans="1:18" x14ac:dyDescent="0.3">
      <c r="A43" s="36"/>
      <c r="B43" s="36"/>
      <c r="C43" s="36"/>
      <c r="D43" s="36"/>
      <c r="E43" s="36"/>
      <c r="F43" s="36"/>
      <c r="G43" s="36"/>
      <c r="H43" s="36"/>
      <c r="I43" s="36"/>
    </row>
    <row r="44" spans="1:18" x14ac:dyDescent="0.3">
      <c r="A44" s="36"/>
      <c r="B44" s="36"/>
      <c r="C44" s="36"/>
      <c r="D44" s="36"/>
      <c r="E44" s="36"/>
      <c r="F44" s="36"/>
      <c r="G44" s="36"/>
      <c r="H44" s="36"/>
      <c r="I44" s="36"/>
    </row>
    <row r="45" spans="1:18" x14ac:dyDescent="0.3">
      <c r="A45" s="36"/>
      <c r="B45" s="36"/>
      <c r="C45" s="36"/>
      <c r="D45" s="36"/>
      <c r="E45" s="36"/>
      <c r="F45" s="36"/>
      <c r="G45" s="36"/>
      <c r="H45" s="36"/>
      <c r="I45" s="36"/>
    </row>
    <row r="46" spans="1:18" x14ac:dyDescent="0.3">
      <c r="A46" s="36"/>
      <c r="B46" s="36"/>
      <c r="C46" s="36"/>
      <c r="D46" s="36"/>
      <c r="E46" s="36"/>
      <c r="F46" s="36"/>
      <c r="G46" s="36"/>
      <c r="H46" s="36"/>
      <c r="I46" s="36"/>
    </row>
  </sheetData>
  <mergeCells count="30">
    <mergeCell ref="A26:B26"/>
    <mergeCell ref="C26:I26"/>
    <mergeCell ref="A6:I6"/>
    <mergeCell ref="A8:I10"/>
    <mergeCell ref="A22:B22"/>
    <mergeCell ref="C22:I22"/>
    <mergeCell ref="A23:B23"/>
    <mergeCell ref="C23:I23"/>
    <mergeCell ref="A19:B19"/>
    <mergeCell ref="C19:I19"/>
    <mergeCell ref="A20:B20"/>
    <mergeCell ref="C20:I20"/>
    <mergeCell ref="A21:B21"/>
    <mergeCell ref="C21:I21"/>
    <mergeCell ref="A33:I35"/>
    <mergeCell ref="G31:H32"/>
    <mergeCell ref="I31:I32"/>
    <mergeCell ref="A7:I7"/>
    <mergeCell ref="A27:B27"/>
    <mergeCell ref="C27:I27"/>
    <mergeCell ref="A28:B28"/>
    <mergeCell ref="C28:I28"/>
    <mergeCell ref="A30:I30"/>
    <mergeCell ref="A31:B32"/>
    <mergeCell ref="C31:D32"/>
    <mergeCell ref="E31:F32"/>
    <mergeCell ref="A24:B24"/>
    <mergeCell ref="C24:I24"/>
    <mergeCell ref="A25:B25"/>
    <mergeCell ref="C25:I25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1"/>
  <sheetViews>
    <sheetView showGridLines="0" zoomScale="90" zoomScaleNormal="90" workbookViewId="0">
      <pane ySplit="2" topLeftCell="A3" activePane="bottomLeft" state="frozen"/>
      <selection pane="bottomLeft" activeCell="A21" sqref="A21"/>
    </sheetView>
  </sheetViews>
  <sheetFormatPr defaultColWidth="8.88671875" defaultRowHeight="14.4" x14ac:dyDescent="0.3"/>
  <cols>
    <col min="1" max="1" width="25.44140625" customWidth="1"/>
    <col min="2" max="2" width="79" bestFit="1" customWidth="1"/>
    <col min="3" max="3" width="70" bestFit="1" customWidth="1"/>
  </cols>
  <sheetData>
    <row r="1" spans="1:3" ht="18.600000000000001" thickBot="1" x14ac:dyDescent="0.4">
      <c r="A1" s="235" t="s">
        <v>213</v>
      </c>
    </row>
    <row r="2" spans="1:3" ht="15" thickBot="1" x14ac:dyDescent="0.35">
      <c r="A2" s="243" t="s">
        <v>235</v>
      </c>
      <c r="B2" s="244" t="s">
        <v>236</v>
      </c>
      <c r="C2" s="245" t="s">
        <v>241</v>
      </c>
    </row>
    <row r="3" spans="1:3" x14ac:dyDescent="0.3">
      <c r="A3" s="259" t="s">
        <v>214</v>
      </c>
      <c r="B3" s="246" t="s">
        <v>238</v>
      </c>
      <c r="C3" s="209" t="s">
        <v>237</v>
      </c>
    </row>
    <row r="4" spans="1:3" x14ac:dyDescent="0.3">
      <c r="A4" s="260" t="s">
        <v>215</v>
      </c>
      <c r="B4" s="247" t="s">
        <v>239</v>
      </c>
      <c r="C4" s="248" t="s">
        <v>240</v>
      </c>
    </row>
    <row r="5" spans="1:3" x14ac:dyDescent="0.3">
      <c r="A5" s="260" t="s">
        <v>216</v>
      </c>
      <c r="B5" s="247" t="s">
        <v>242</v>
      </c>
      <c r="C5" s="248" t="s">
        <v>240</v>
      </c>
    </row>
    <row r="6" spans="1:3" x14ac:dyDescent="0.3">
      <c r="A6" s="260" t="s">
        <v>198</v>
      </c>
      <c r="B6" s="247" t="s">
        <v>243</v>
      </c>
      <c r="C6" s="207" t="s">
        <v>245</v>
      </c>
    </row>
    <row r="7" spans="1:3" x14ac:dyDescent="0.3">
      <c r="A7" s="260" t="s">
        <v>217</v>
      </c>
      <c r="B7" s="247" t="s">
        <v>244</v>
      </c>
      <c r="C7" s="248" t="s">
        <v>240</v>
      </c>
    </row>
    <row r="8" spans="1:3" x14ac:dyDescent="0.3">
      <c r="A8" s="260" t="s">
        <v>218</v>
      </c>
      <c r="B8" s="247" t="s">
        <v>246</v>
      </c>
      <c r="C8" s="207" t="s">
        <v>247</v>
      </c>
    </row>
    <row r="9" spans="1:3" x14ac:dyDescent="0.3">
      <c r="A9" s="260" t="s">
        <v>219</v>
      </c>
      <c r="B9" s="247" t="s">
        <v>248</v>
      </c>
      <c r="C9" s="248" t="s">
        <v>240</v>
      </c>
    </row>
    <row r="10" spans="1:3" x14ac:dyDescent="0.3">
      <c r="A10" s="260" t="s">
        <v>220</v>
      </c>
      <c r="B10" s="247" t="s">
        <v>249</v>
      </c>
      <c r="C10" s="207" t="s">
        <v>247</v>
      </c>
    </row>
    <row r="11" spans="1:3" x14ac:dyDescent="0.3">
      <c r="A11" s="260" t="s">
        <v>221</v>
      </c>
      <c r="B11" s="247" t="s">
        <v>250</v>
      </c>
      <c r="C11" s="207" t="s">
        <v>247</v>
      </c>
    </row>
    <row r="12" spans="1:3" x14ac:dyDescent="0.3">
      <c r="A12" s="260" t="s">
        <v>222</v>
      </c>
      <c r="B12" s="247" t="s">
        <v>251</v>
      </c>
      <c r="C12" s="207" t="s">
        <v>247</v>
      </c>
    </row>
    <row r="13" spans="1:3" x14ac:dyDescent="0.3">
      <c r="A13" s="260" t="s">
        <v>223</v>
      </c>
      <c r="B13" s="247" t="s">
        <v>252</v>
      </c>
      <c r="C13" s="207" t="s">
        <v>247</v>
      </c>
    </row>
    <row r="14" spans="1:3" x14ac:dyDescent="0.3">
      <c r="A14" s="260" t="s">
        <v>224</v>
      </c>
      <c r="B14" s="247" t="s">
        <v>283</v>
      </c>
      <c r="C14" s="207" t="s">
        <v>253</v>
      </c>
    </row>
    <row r="15" spans="1:3" x14ac:dyDescent="0.3">
      <c r="A15" s="260" t="s">
        <v>282</v>
      </c>
      <c r="B15" s="247" t="s">
        <v>284</v>
      </c>
      <c r="C15" s="207" t="s">
        <v>247</v>
      </c>
    </row>
    <row r="16" spans="1:3" x14ac:dyDescent="0.3">
      <c r="A16" s="260" t="s">
        <v>229</v>
      </c>
      <c r="B16" s="247" t="s">
        <v>254</v>
      </c>
      <c r="C16" s="207" t="s">
        <v>255</v>
      </c>
    </row>
    <row r="17" spans="1:3" x14ac:dyDescent="0.3">
      <c r="A17" s="260" t="s">
        <v>230</v>
      </c>
      <c r="B17" s="247" t="s">
        <v>256</v>
      </c>
      <c r="C17" s="207" t="s">
        <v>257</v>
      </c>
    </row>
    <row r="18" spans="1:3" ht="28.8" x14ac:dyDescent="0.3">
      <c r="A18" s="260" t="s">
        <v>231</v>
      </c>
      <c r="B18" s="258" t="s">
        <v>258</v>
      </c>
      <c r="C18" s="261" t="s">
        <v>259</v>
      </c>
    </row>
    <row r="19" spans="1:3" x14ac:dyDescent="0.3">
      <c r="A19" s="260" t="s">
        <v>232</v>
      </c>
      <c r="B19" s="247" t="s">
        <v>260</v>
      </c>
      <c r="C19" s="207" t="s">
        <v>261</v>
      </c>
    </row>
    <row r="20" spans="1:3" x14ac:dyDescent="0.3">
      <c r="A20" s="260" t="s">
        <v>233</v>
      </c>
      <c r="B20" s="247" t="s">
        <v>262</v>
      </c>
      <c r="C20" s="207" t="s">
        <v>264</v>
      </c>
    </row>
    <row r="21" spans="1:3" x14ac:dyDescent="0.3">
      <c r="A21" s="260" t="s">
        <v>234</v>
      </c>
      <c r="B21" s="247" t="s">
        <v>263</v>
      </c>
      <c r="C21" s="207" t="s">
        <v>264</v>
      </c>
    </row>
  </sheetData>
  <sheetProtection password="C3D8" sheet="1" objects="1" scenarios="1"/>
  <hyperlinks>
    <hyperlink ref="A3" location="Sumarizácia!R1C1" display="Sumarizácia"/>
    <hyperlink ref="A4" location="'CBA - Agendové IS'!R1C1" display="CBA"/>
    <hyperlink ref="A5" location="'Analyza citlivosti - AgendovéIS'!R1C1" display="Analyza citlivosti"/>
    <hyperlink ref="A6" location="'Prínosy - Agendové IS'!R1C1" display="Prínosy"/>
    <hyperlink ref="A7" location="'Výdavky - Agendové IS'!R1C1" display="Výdavky"/>
    <hyperlink ref="A8" location="'Parametre - Agendové IS'!R1C1" display="Parametre"/>
    <hyperlink ref="A9" location="TCO!R1C1" display="TCO"/>
    <hyperlink ref="A10" location="'TCO Alt. 1 - SW'!R1C1" display="TCO Alt. 1 - SW"/>
    <hyperlink ref="A11" location="'TCO Alt. 1 - HW'!R1C1" display="TCO Alt. 1 - HW"/>
    <hyperlink ref="A12" location="'TCO Alt. 2 - SW'!R1C1" display="TCO Alt. 2 - SW"/>
    <hyperlink ref="A13" location="'TCO Alt. 2 - HW'!R1C1" display="TCO Alt. 2 - HW"/>
    <hyperlink ref="A14" location="'Rozpočet - vývoj Aplikácií'!R1C1" display="Rozpočet - vývoj aplikácii"/>
    <hyperlink ref="A16" location="'Slepý rozpočet'!R1C1" display="Slepý rozpočet"/>
    <hyperlink ref="A17" location="Faktory!R1C1" display="Faktory"/>
    <hyperlink ref="A18" location="'Meranie prínosov'!R1C1" display="Meranie prínosov"/>
    <hyperlink ref="A19" location="'Procesné mapy'!R1C1" display="Procesné mapy"/>
    <hyperlink ref="A20" location="'Procesy - AS IS'!R1C1" display="Procesy AS IS"/>
    <hyperlink ref="A21" location="'Procesy - TO BE'!R1C1" display="Procesy TO BE"/>
    <hyperlink ref="A15" location="'Rozpočet - HW a licencie'!R1C1" display="Rozpočet - HW a licencie"/>
  </hyperlinks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V27"/>
  <sheetViews>
    <sheetView showGridLines="0" zoomScale="80" zoomScaleNormal="80" workbookViewId="0">
      <pane ySplit="3" topLeftCell="A4" activePane="bottomLeft" state="frozen"/>
      <selection pane="bottomLeft" activeCell="C25" sqref="C25"/>
    </sheetView>
  </sheetViews>
  <sheetFormatPr defaultColWidth="9.109375" defaultRowHeight="14.4" x14ac:dyDescent="0.3"/>
  <cols>
    <col min="2" max="2" width="9.109375" customWidth="1"/>
    <col min="3" max="3" width="32" customWidth="1"/>
    <col min="4" max="6" width="13.44140625" bestFit="1" customWidth="1"/>
    <col min="7" max="7" width="11.6640625" bestFit="1" customWidth="1"/>
    <col min="8" max="8" width="19.88671875" customWidth="1"/>
    <col min="9" max="9" width="13.88671875" bestFit="1" customWidth="1"/>
    <col min="11" max="12" width="3.88671875" customWidth="1"/>
    <col min="15" max="15" width="32.33203125" customWidth="1"/>
    <col min="16" max="17" width="15.44140625" bestFit="1" customWidth="1"/>
    <col min="18" max="18" width="13.44140625" customWidth="1"/>
    <col min="19" max="19" width="11.44140625" customWidth="1"/>
    <col min="20" max="20" width="12.5546875" customWidth="1"/>
    <col min="21" max="21" width="15.44140625" bestFit="1" customWidth="1"/>
    <col min="22" max="22" width="12.6640625" bestFit="1" customWidth="1"/>
  </cols>
  <sheetData>
    <row r="1" spans="1:22" ht="21.75" customHeight="1" thickBot="1" x14ac:dyDescent="0.35">
      <c r="A1" s="1087" t="s">
        <v>300</v>
      </c>
      <c r="B1" s="1087"/>
      <c r="C1" s="1087"/>
      <c r="D1" s="409"/>
      <c r="E1" s="409"/>
      <c r="F1" s="409"/>
      <c r="G1" s="409"/>
      <c r="H1" s="409"/>
      <c r="I1" s="409"/>
      <c r="J1" s="409"/>
      <c r="K1" s="409"/>
      <c r="L1" s="409"/>
      <c r="M1" s="1087" t="s">
        <v>301</v>
      </c>
      <c r="N1" s="1087"/>
      <c r="O1" s="1087"/>
    </row>
    <row r="2" spans="1:22" ht="61.2" customHeight="1" x14ac:dyDescent="0.3">
      <c r="A2" s="1088"/>
      <c r="B2" s="1089"/>
      <c r="C2" s="1090"/>
      <c r="D2" s="484" t="str">
        <f>'Parametre - Agendové IS'!G1</f>
        <v>Interný agendový informačný systém KSED</v>
      </c>
      <c r="E2" s="484" t="str">
        <f>'Parametre - Agendové IS'!J1</f>
        <v>2. Mobilný Agendový informačný systém KSED</v>
      </c>
      <c r="F2" s="484" t="str">
        <f>'Parametre - Agendové IS'!M1</f>
        <v>3. Verejný portál KSED</v>
      </c>
      <c r="G2" s="485" t="str">
        <f>'Parametre - Agendové IS'!P1</f>
        <v>4. Mobilná aplikácia Podnety</v>
      </c>
      <c r="H2" s="487" t="s">
        <v>291</v>
      </c>
      <c r="I2" s="486" t="s">
        <v>103</v>
      </c>
      <c r="M2" s="1088"/>
      <c r="N2" s="1089"/>
      <c r="O2" s="1090"/>
      <c r="P2" s="487" t="str">
        <f>'Rozpočet - vývoj Aplikácií'!$C$4</f>
        <v>Modul Integrované povoľovanie</v>
      </c>
      <c r="Q2" s="487" t="str">
        <f>'Rozpočet - vývoj Aplikácií'!$C$60</f>
        <v>2. Mobilný Agendový informačný systém KSED</v>
      </c>
      <c r="R2" s="487" t="str">
        <f>'Rozpočet - vývoj Aplikácií'!$C$66</f>
        <v>3. Verejný portál KSED</v>
      </c>
      <c r="S2" s="487" t="str">
        <f>'Rozpočet - vývoj Aplikácií'!$C$73</f>
        <v>4. Mobilná aplikácia Podnety</v>
      </c>
      <c r="T2" s="487" t="s">
        <v>291</v>
      </c>
      <c r="U2" s="542" t="s">
        <v>103</v>
      </c>
    </row>
    <row r="3" spans="1:22" x14ac:dyDescent="0.3">
      <c r="A3" s="265" t="s">
        <v>305</v>
      </c>
      <c r="B3" s="266"/>
      <c r="C3" s="267"/>
      <c r="D3" s="268">
        <f>D4+D5+D9+D13+D14</f>
        <v>10367038.99797448</v>
      </c>
      <c r="E3" s="268">
        <f>E4+E5+E9+E13+E14</f>
        <v>707551.11278854858</v>
      </c>
      <c r="F3" s="268">
        <f>F4+F5+F9+F13+F14</f>
        <v>355204.87517134502</v>
      </c>
      <c r="G3" s="269">
        <f>G4+G5+G9+G13+G14</f>
        <v>23196.888657262276</v>
      </c>
      <c r="H3" s="268">
        <f>H5+H9+H13+H14</f>
        <v>872688.84976299014</v>
      </c>
      <c r="I3" s="410">
        <f>SUM(D3:H3)</f>
        <v>12325680.724354625</v>
      </c>
      <c r="M3" s="265" t="s">
        <v>305</v>
      </c>
      <c r="N3" s="266"/>
      <c r="O3" s="267"/>
      <c r="P3" s="268">
        <f>P4+P5+P9+P13+P14</f>
        <v>11491722.716298431</v>
      </c>
      <c r="Q3" s="268">
        <f>Q4+Q5+Q9+Q13+Q14</f>
        <v>786320.17001934955</v>
      </c>
      <c r="R3" s="268">
        <f>R4+R5+R9+R13+R14</f>
        <v>391254.2234781122</v>
      </c>
      <c r="S3" s="269">
        <f>S4+S5+S9+S13+S14</f>
        <v>25662.512129602525</v>
      </c>
      <c r="T3" s="268">
        <f>T5+T9+T13+T14</f>
        <v>953739.68930031452</v>
      </c>
      <c r="U3" s="410">
        <f>SUM(P3:T3)</f>
        <v>13648699.311225809</v>
      </c>
    </row>
    <row r="4" spans="1:22" x14ac:dyDescent="0.3">
      <c r="A4" s="270"/>
      <c r="B4" s="271" t="s">
        <v>68</v>
      </c>
      <c r="C4" s="272"/>
      <c r="D4" s="427">
        <f>'Parametre - Agendové IS'!I127+NPV(Faktory!$D$5,'Parametre - Agendové IS'!I128:I136)</f>
        <v>0</v>
      </c>
      <c r="E4" s="427">
        <f>'Parametre - Agendové IS'!L127+NPV(Faktory!$D$5,'Parametre - Agendové IS'!L128:L136)</f>
        <v>0</v>
      </c>
      <c r="F4" s="427">
        <f>'Parametre - Agendové IS'!O127+NPV(Faktory!$D$5,'Parametre - Agendové IS'!O128:O136)</f>
        <v>0</v>
      </c>
      <c r="G4" s="428">
        <f>'Parametre - Agendové IS'!R127+NPV(Faktory!$D$5,'Parametre - Agendové IS'!R128:R136)</f>
        <v>0</v>
      </c>
      <c r="H4" s="490" t="s">
        <v>204</v>
      </c>
      <c r="I4" s="429">
        <f>SUM(D4:H4)</f>
        <v>0</v>
      </c>
      <c r="M4" s="270"/>
      <c r="N4" s="271" t="s">
        <v>68</v>
      </c>
      <c r="O4" s="272"/>
      <c r="P4" s="427">
        <f>SUM('Parametre - Agendové IS'!I127:I136)</f>
        <v>0</v>
      </c>
      <c r="Q4" s="427">
        <f>SUM('Parametre - Agendové IS'!L127:L136)</f>
        <v>0</v>
      </c>
      <c r="R4" s="427">
        <f>SUM('Parametre - Agendové IS'!O127:O136)</f>
        <v>0</v>
      </c>
      <c r="S4" s="428">
        <f>SUM('Parametre - Agendové IS'!R127:R136)</f>
        <v>0</v>
      </c>
      <c r="T4" s="490" t="s">
        <v>204</v>
      </c>
      <c r="U4" s="429">
        <f>SUM(P4:T4)</f>
        <v>0</v>
      </c>
    </row>
    <row r="5" spans="1:22" x14ac:dyDescent="0.3">
      <c r="A5" s="270"/>
      <c r="B5" s="271" t="s">
        <v>202</v>
      </c>
      <c r="C5" s="272"/>
      <c r="D5" s="427">
        <f>SUM(D6:D8)</f>
        <v>6537750.9600000018</v>
      </c>
      <c r="E5" s="427">
        <f>SUM(E6:E8)</f>
        <v>463575</v>
      </c>
      <c r="F5" s="427">
        <f>SUM(F6:F8)</f>
        <v>250080</v>
      </c>
      <c r="G5" s="428">
        <f>SUM(G6:G8)</f>
        <v>16464</v>
      </c>
      <c r="H5" s="427">
        <f>SUM(H6:H8)</f>
        <v>616227</v>
      </c>
      <c r="I5" s="429">
        <f>SUM(D5:H5)</f>
        <v>7884096.9600000018</v>
      </c>
      <c r="M5" s="270"/>
      <c r="N5" s="271" t="s">
        <v>202</v>
      </c>
      <c r="O5" s="272"/>
      <c r="P5" s="427">
        <f>SUM(P6:P8)</f>
        <v>6741270.7200000025</v>
      </c>
      <c r="Q5" s="427">
        <f>SUM(Q6:Q8)</f>
        <v>469978.5</v>
      </c>
      <c r="R5" s="427">
        <f>SUM(R6:R8)</f>
        <v>259998</v>
      </c>
      <c r="S5" s="428">
        <f>SUM(S6:S8)</f>
        <v>17256</v>
      </c>
      <c r="T5" s="427">
        <f>SUM(T6+T7)</f>
        <v>633528</v>
      </c>
      <c r="U5" s="429">
        <f>SUM(P5:T5)</f>
        <v>8122031.2200000025</v>
      </c>
    </row>
    <row r="6" spans="1:22" x14ac:dyDescent="0.3">
      <c r="A6" s="273"/>
      <c r="B6" s="274"/>
      <c r="C6" s="275" t="s">
        <v>105</v>
      </c>
      <c r="D6" s="430">
        <f>('TCO TO BE- SW'!G26+NPV(Faktory!$D$5,'TCO TO BE- SW'!G27:G35)+'TCO TO BE- SW'!G36+NPV(Faktory!$D$5,'TCO TO BE- SW'!G37:G45)+'TCO TO BE- SW'!G46+NPV(Faktory!$D$5,'TCO TO BE- SW'!G47:G55))</f>
        <v>6422154.9600000018</v>
      </c>
      <c r="E6" s="430">
        <f>('TCO TO BE- SW'!H26+NPV(Faktory!$D$5,'TCO TO BE- SW'!H27:H35)+'TCO TO BE- SW'!H36+NPV(Faktory!$D$5,'TCO TO BE- SW'!H37:H45)+'TCO TO BE- SW'!H46+NPV(Faktory!$D$5,'TCO TO BE- SW'!H47:H55))</f>
        <v>279963</v>
      </c>
      <c r="F6" s="430">
        <f>('TCO TO BE- SW'!I26+NPV(Faktory!$D$5,'TCO TO BE- SW'!I27:I35)+'TCO TO BE- SW'!I36+NPV(Faktory!$D$5,'TCO TO BE- SW'!I37:I45)+'TCO TO BE- SW'!I46+NPV(Faktory!$D$5,'TCO TO BE- SW'!I47:I55))</f>
        <v>249768</v>
      </c>
      <c r="G6" s="430">
        <f>('TCO TO BE- SW'!J26+NPV(Faktory!$D$5,'TCO TO BE- SW'!J27:J35)+'TCO TO BE- SW'!J36+NPV(Faktory!$D$5,'TCO TO BE- SW'!J37:J45)+'TCO TO BE- SW'!J46+NPV(Faktory!$D$5,'TCO TO BE- SW'!J47:J55))</f>
        <v>15840</v>
      </c>
      <c r="H6" s="430">
        <f>('TCO TO BE- SW'!K26+NPV(Faktory!$D$5,'TCO TO BE- SW'!K27:K35)+'TCO TO BE- SW'!K36+NPV(Faktory!$D$5,'TCO TO BE- SW'!K37:K45)+'TCO TO BE- SW'!K46+NPV(Faktory!$D$5,'TCO TO BE- SW'!K47:K55))</f>
        <v>616227</v>
      </c>
      <c r="I6" s="432">
        <f>SUM(D6:H6)</f>
        <v>7583952.9600000018</v>
      </c>
      <c r="M6" s="273"/>
      <c r="N6" s="274"/>
      <c r="O6" s="275" t="s">
        <v>105</v>
      </c>
      <c r="P6" s="430">
        <f>'TCO TO BE- SW'!G25</f>
        <v>6625674.7200000025</v>
      </c>
      <c r="Q6" s="430">
        <f>'TCO TO BE- SW'!H25</f>
        <v>286366.5</v>
      </c>
      <c r="R6" s="430">
        <f>'TCO TO BE- SW'!I25</f>
        <v>259686</v>
      </c>
      <c r="S6" s="430">
        <f>'TCO TO BE- SW'!J25</f>
        <v>16632</v>
      </c>
      <c r="T6" s="430">
        <f>'TCO TO BE- SW'!K25</f>
        <v>633528</v>
      </c>
      <c r="U6" s="432">
        <f>SUM(P6:T6)</f>
        <v>7821887.2200000025</v>
      </c>
    </row>
    <row r="7" spans="1:22" x14ac:dyDescent="0.3">
      <c r="A7" s="273"/>
      <c r="B7" s="274"/>
      <c r="C7" s="275" t="s">
        <v>67</v>
      </c>
      <c r="D7" s="430">
        <f>('TCO TO BE- SW'!G5+NPV(Faktory!$D$5,'TCO TO BE- SW'!G6:G14)+'TCO TO BE- SW'!G15+NPV(Faktory!$D$5,'TCO TO BE- SW'!G16:G24))</f>
        <v>0</v>
      </c>
      <c r="E7" s="430">
        <f>('TCO TO BE- SW'!H5+NPV(Faktory!$D$5,'TCO TO BE- SW'!H6:H14)+'TCO TO BE- SW'!H15+NPV(Faktory!$D$5,'TCO TO BE- SW'!H16:H24))</f>
        <v>0</v>
      </c>
      <c r="F7" s="430">
        <f>('TCO TO BE- SW'!I5+NPV(Faktory!$D$5,'TCO TO BE- SW'!I6:I14)+'TCO TO BE- SW'!I15+NPV(Faktory!$D$5,'TCO TO BE- SW'!I16:I24))</f>
        <v>0</v>
      </c>
      <c r="G7" s="430">
        <f>('TCO TO BE- SW'!J5+NPV(Faktory!$D$5,'TCO TO BE- SW'!J6:J14)+'TCO TO BE- SW'!J15+NPV(Faktory!$D$5,'TCO TO BE- SW'!J16:J24))</f>
        <v>0</v>
      </c>
      <c r="H7" s="430">
        <f>('TCO TO BE- SW'!K5+NPV(Faktory!$D$5,'TCO TO BE- SW'!K6:K14)+'TCO TO BE- SW'!K15+NPV(Faktory!$D$5,'TCO TO BE- SW'!K16:K24))</f>
        <v>0</v>
      </c>
      <c r="I7" s="432">
        <f>SUM(D7:H7)</f>
        <v>0</v>
      </c>
      <c r="M7" s="273"/>
      <c r="N7" s="274"/>
      <c r="O7" s="275" t="s">
        <v>67</v>
      </c>
      <c r="P7" s="430">
        <f>'TCO TO BE- SW'!G4</f>
        <v>0</v>
      </c>
      <c r="Q7" s="430">
        <f>'TCO TO BE- SW'!H4</f>
        <v>0</v>
      </c>
      <c r="R7" s="430">
        <f>'TCO TO BE- SW'!I4</f>
        <v>0</v>
      </c>
      <c r="S7" s="430">
        <f>'TCO TO BE- SW'!J4</f>
        <v>0</v>
      </c>
      <c r="T7" s="430">
        <f>'TCO TO BE- SW'!K4</f>
        <v>0</v>
      </c>
      <c r="U7" s="432">
        <f>SUM(P7:T7)</f>
        <v>0</v>
      </c>
    </row>
    <row r="8" spans="1:22" x14ac:dyDescent="0.3">
      <c r="A8" s="273"/>
      <c r="B8" s="274"/>
      <c r="C8" s="275" t="s">
        <v>66</v>
      </c>
      <c r="D8" s="430">
        <f>('TCO TO BE - HW'!F4+NPV(Faktory!$D$5,'TCO TO BE - HW'!F5:F13)+'TCO TO BE - HW'!F14+NPV(Faktory!$D$5,'TCO TO BE - HW'!F15:F23)+'TCO TO BE - HW'!F24+NPV(Faktory!$D$5,'TCO TO BE - HW'!F25:F33))</f>
        <v>115596</v>
      </c>
      <c r="E8" s="430">
        <f>('TCO TO BE - HW'!G4+NPV(Faktory!$D$5,'TCO TO BE - HW'!G5:G13)+'TCO TO BE - HW'!G14+NPV(Faktory!$D$5,'TCO TO BE - HW'!G15:G23)+'TCO TO BE - HW'!G24+NPV(Faktory!$D$5,'TCO TO BE - HW'!G25:G33))</f>
        <v>183612</v>
      </c>
      <c r="F8" s="430">
        <f>('TCO TO BE - HW'!H4+NPV(Faktory!$D$5,'TCO TO BE - HW'!H5:H13)+'TCO TO BE - HW'!H14+NPV(Faktory!$D$5,'TCO TO BE - HW'!H15:H23)+'TCO TO BE - HW'!H24+NPV(Faktory!$D$5,'TCO TO BE - HW'!H25:H33))</f>
        <v>312</v>
      </c>
      <c r="G8" s="430">
        <f>('TCO TO BE - HW'!I4+NPV(Faktory!$D$5,'TCO TO BE - HW'!I5:I13)+'TCO TO BE - HW'!I14+NPV(Faktory!$D$5,'TCO TO BE - HW'!I15:I23)+'TCO TO BE - HW'!I24+NPV(Faktory!$D$5,'TCO TO BE - HW'!I25:I33))</f>
        <v>624</v>
      </c>
      <c r="H8" s="433" t="s">
        <v>204</v>
      </c>
      <c r="I8" s="432">
        <f t="shared" ref="I8:I17" si="0">SUM(D8:G8)</f>
        <v>300144</v>
      </c>
      <c r="M8" s="273"/>
      <c r="N8" s="274"/>
      <c r="O8" s="275" t="s">
        <v>66</v>
      </c>
      <c r="P8" s="430">
        <f>'TCO TO BE - HW'!F3</f>
        <v>115596</v>
      </c>
      <c r="Q8" s="430">
        <f>'TCO TO BE - HW'!G3</f>
        <v>183612</v>
      </c>
      <c r="R8" s="430">
        <f>'TCO TO BE - HW'!H3</f>
        <v>312</v>
      </c>
      <c r="S8" s="430">
        <f>'TCO TO BE - HW'!I3</f>
        <v>624</v>
      </c>
      <c r="T8" s="433" t="s">
        <v>204</v>
      </c>
      <c r="U8" s="432">
        <f t="shared" ref="U8:U23" si="1">SUM(P8:S8)</f>
        <v>300144</v>
      </c>
    </row>
    <row r="9" spans="1:22" x14ac:dyDescent="0.3">
      <c r="A9" s="270"/>
      <c r="B9" s="271" t="s">
        <v>203</v>
      </c>
      <c r="C9" s="272"/>
      <c r="D9" s="427">
        <f>SUM(D10:D12)</f>
        <v>3314066.914634285</v>
      </c>
      <c r="E9" s="427">
        <f>SUM(E10:E12)</f>
        <v>224451.36230205113</v>
      </c>
      <c r="F9" s="427">
        <f>SUM(F10:F12)</f>
        <v>87419.22749664649</v>
      </c>
      <c r="G9" s="428">
        <f>SUM(G10:G12)</f>
        <v>5598.9024888681888</v>
      </c>
      <c r="H9" s="427">
        <f>SUM(H10:H12)</f>
        <v>213267.28571234277</v>
      </c>
      <c r="I9" s="429">
        <f>SUM(D9:H9)</f>
        <v>3844803.6926341932</v>
      </c>
      <c r="M9" s="270"/>
      <c r="N9" s="271" t="s">
        <v>203</v>
      </c>
      <c r="O9" s="272"/>
      <c r="P9" s="427">
        <f>SUM(P10:P12)</f>
        <v>4222664.5040962808</v>
      </c>
      <c r="Q9" s="427">
        <f>SUM(Q10:Q12)</f>
        <v>296340.7061063521</v>
      </c>
      <c r="R9" s="427">
        <f>SUM(R10:R12)</f>
        <v>113118.7307381771</v>
      </c>
      <c r="S9" s="428">
        <f>SUM(S10:S12)</f>
        <v>7244.8677619793161</v>
      </c>
      <c r="T9" s="427">
        <f>SUM(T10+T11)</f>
        <v>275963.59929721215</v>
      </c>
      <c r="U9" s="429">
        <f>SUM(P9:T9)</f>
        <v>4915332.4080000008</v>
      </c>
    </row>
    <row r="10" spans="1:22" x14ac:dyDescent="0.3">
      <c r="A10" s="273"/>
      <c r="B10" s="274"/>
      <c r="C10" s="275" t="s">
        <v>105</v>
      </c>
      <c r="D10" s="430">
        <f>('TCO TO BE- SW'!G79+NPV(Faktory!$D$5,'TCO TO BE- SW'!G80:G88)+'TCO TO BE- SW'!G89+NPV(Faktory!$D$5,'TCO TO BE- SW'!G90:G98)+'TCO TO BE- SW'!G99+NPV(Faktory!$D$5,'TCO TO BE- SW'!G100:G108)+'TCO TO BE- SW'!G109+NPV(Faktory!$D$5,'TCO TO BE- SW'!G110:G118)+'TCO TO BE- SW'!G119+NPV(Faktory!$D$5,'TCO TO BE- SW'!G120:G128))</f>
        <v>3314066.914634285</v>
      </c>
      <c r="E10" s="430">
        <f>('TCO TO BE- SW'!H79+NPV(Faktory!$D$5,'TCO TO BE- SW'!H80:H88)+'TCO TO BE- SW'!H89+NPV(Faktory!$D$5,'TCO TO BE- SW'!H90:H98)+'TCO TO BE- SW'!H99+NPV(Faktory!$D$5,'TCO TO BE- SW'!H100:H108)+'TCO TO BE- SW'!H109+NPV(Faktory!$D$5,'TCO TO BE- SW'!H110:H118)+'TCO TO BE- SW'!H119+NPV(Faktory!$D$5,'TCO TO BE- SW'!H120:H128))</f>
        <v>96400.80023920587</v>
      </c>
      <c r="F10" s="430">
        <f>('TCO TO BE- SW'!I79+NPV(Faktory!$D$5,'TCO TO BE- SW'!I80:I88)+'TCO TO BE- SW'!I89+NPV(Faktory!$D$5,'TCO TO BE- SW'!I90:I98)+'TCO TO BE- SW'!I99+NPV(Faktory!$D$5,'TCO TO BE- SW'!I100:I108)+'TCO TO BE- SW'!I109+NPV(Faktory!$D$5,'TCO TO BE- SW'!I110:I118)+'TCO TO BE- SW'!I119+NPV(Faktory!$D$5,'TCO TO BE- SW'!I120:I128))</f>
        <v>87419.22749664649</v>
      </c>
      <c r="G10" s="430">
        <f>('TCO TO BE- SW'!J79+NPV(Faktory!$D$5,'TCO TO BE- SW'!J80:J88)+'TCO TO BE- SW'!J89+NPV(Faktory!$D$5,'TCO TO BE- SW'!J90:J98)+'TCO TO BE- SW'!J99+NPV(Faktory!$D$5,'TCO TO BE- SW'!J100:J108)+'TCO TO BE- SW'!J109+NPV(Faktory!$D$5,'TCO TO BE- SW'!J110:J118)+'TCO TO BE- SW'!J119+NPV(Faktory!$D$5,'TCO TO BE- SW'!J120:J128))</f>
        <v>5598.9024888681888</v>
      </c>
      <c r="H10" s="430">
        <f>('TCO TO BE- SW'!K79+NPV(Faktory!$D$5,'TCO TO BE- SW'!K80:K88)+'TCO TO BE- SW'!K89+NPV(Faktory!$D$5,'TCO TO BE- SW'!K90:K98)+'TCO TO BE- SW'!K99+NPV(Faktory!$D$5,'TCO TO BE- SW'!K100:K108)+'TCO TO BE- SW'!K109+NPV(Faktory!$D$5,'TCO TO BE- SW'!K110:K118)+'TCO TO BE- SW'!K119+NPV(Faktory!$D$5,'TCO TO BE- SW'!K120:K128))</f>
        <v>213267.28571234277</v>
      </c>
      <c r="I10" s="432">
        <f>SUM(D10:H10)</f>
        <v>3716753.1305713481</v>
      </c>
      <c r="M10" s="273"/>
      <c r="N10" s="274"/>
      <c r="O10" s="275" t="s">
        <v>105</v>
      </c>
      <c r="P10" s="430">
        <f>'TCO TO BE- SW'!G78</f>
        <v>4222664.5040962808</v>
      </c>
      <c r="Q10" s="430">
        <f>'TCO TO BE- SW'!H78</f>
        <v>124740.70610635211</v>
      </c>
      <c r="R10" s="430">
        <f>'TCO TO BE- SW'!I78</f>
        <v>113118.7307381771</v>
      </c>
      <c r="S10" s="430">
        <f>'TCO TO BE- SW'!J78</f>
        <v>7244.8677619793161</v>
      </c>
      <c r="T10" s="430">
        <f>'TCO TO BE- SW'!K78</f>
        <v>275963.59929721215</v>
      </c>
      <c r="U10" s="432">
        <f>SUM(P10:T10)</f>
        <v>4743732.4080000008</v>
      </c>
    </row>
    <row r="11" spans="1:22" x14ac:dyDescent="0.3">
      <c r="A11" s="273"/>
      <c r="B11" s="274"/>
      <c r="C11" s="275" t="s">
        <v>67</v>
      </c>
      <c r="D11" s="430">
        <f>('TCO TO BE- SW'!G58+NPV(Faktory!$D$5,'TCO TO BE- SW'!G59:G67)+'TCO TO BE- SW'!G68+NPV(Faktory!$D$5,'TCO TO BE- SW'!G69:G77))</f>
        <v>0</v>
      </c>
      <c r="E11" s="430">
        <f>('TCO TO BE- SW'!H58+NPV(Faktory!$D$5,'TCO TO BE- SW'!H59:H67)+'TCO TO BE- SW'!H68+NPV(Faktory!$D$5,'TCO TO BE- SW'!H69:H77))</f>
        <v>0</v>
      </c>
      <c r="F11" s="430">
        <f>('TCO TO BE- SW'!I58+NPV(Faktory!$D$5,'TCO TO BE- SW'!I59:I67)+'TCO TO BE- SW'!I68+NPV(Faktory!$D$5,'TCO TO BE- SW'!I69:I77))</f>
        <v>0</v>
      </c>
      <c r="G11" s="430">
        <f>('TCO TO BE- SW'!J58+NPV(Faktory!$D$5,'TCO TO BE- SW'!J59:J67)+'TCO TO BE- SW'!J68+NPV(Faktory!$D$5,'TCO TO BE- SW'!J69:J77))</f>
        <v>0</v>
      </c>
      <c r="H11" s="430">
        <f>('TCO TO BE- SW'!K58+NPV(Faktory!$D$5,'TCO TO BE- SW'!K59:K67)+'TCO TO BE- SW'!K68+NPV(Faktory!$D$5,'TCO TO BE- SW'!K69:K77))</f>
        <v>0</v>
      </c>
      <c r="I11" s="432">
        <f>SUM(D11:H11)</f>
        <v>0</v>
      </c>
      <c r="M11" s="273"/>
      <c r="N11" s="274"/>
      <c r="O11" s="275" t="s">
        <v>67</v>
      </c>
      <c r="P11" s="430">
        <f>'TCO TO BE- SW'!G57</f>
        <v>0</v>
      </c>
      <c r="Q11" s="430">
        <f>'TCO TO BE- SW'!H57</f>
        <v>0</v>
      </c>
      <c r="R11" s="430">
        <f>'TCO TO BE- SW'!I57</f>
        <v>0</v>
      </c>
      <c r="S11" s="430">
        <f>'TCO TO BE- SW'!J57</f>
        <v>0</v>
      </c>
      <c r="T11" s="430">
        <f>'TCO TO BE- SW'!K57</f>
        <v>0</v>
      </c>
      <c r="U11" s="432">
        <f>SUM(P11:T11)</f>
        <v>0</v>
      </c>
    </row>
    <row r="12" spans="1:22" x14ac:dyDescent="0.3">
      <c r="A12" s="273"/>
      <c r="B12" s="274"/>
      <c r="C12" s="275" t="s">
        <v>66</v>
      </c>
      <c r="D12" s="430">
        <f>('TCO TO BE - HW'!F35+NPV(Faktory!$D$5,'TCO TO BE - HW'!F36:F44)+'TCO TO BE - HW'!F45+NPV(Faktory!$D$5,'TCO TO BE - HW'!F46:F54)+'TCO TO BE - HW'!F55+NPV(Faktory!$D$5,'TCO TO BE - HW'!F56:F64)+'TCO TO BE - HW'!F65+NPV(Faktory!$D$5,'TCO TO BE - HW'!F66:F74)+'TCO TO BE - HW'!F75+NPV(Faktory!$D$5,'TCO TO BE - HW'!F76:F84))</f>
        <v>0</v>
      </c>
      <c r="E12" s="430">
        <f>('TCO TO BE - HW'!G35+NPV(Faktory!$D$5,'TCO TO BE - HW'!G36:G44)+'TCO TO BE - HW'!G45+NPV(Faktory!$D$5,'TCO TO BE - HW'!G46:G54)+'TCO TO BE - HW'!G55+NPV(Faktory!$D$5,'TCO TO BE - HW'!G56:G64)+'TCO TO BE - HW'!G65+NPV(Faktory!$D$5,'TCO TO BE - HW'!G66:G74)+'TCO TO BE - HW'!G75+NPV(Faktory!$D$5,'TCO TO BE - HW'!G76:G84))</f>
        <v>128050.56206284526</v>
      </c>
      <c r="F12" s="430">
        <f>('TCO TO BE - HW'!H35+NPV(Faktory!$D$5,'TCO TO BE - HW'!H36:H44)+'TCO TO BE - HW'!H45+NPV(Faktory!$D$5,'TCO TO BE - HW'!H46:H54)+'TCO TO BE - HW'!H55+NPV(Faktory!$D$5,'TCO TO BE - HW'!H56:H64)+'TCO TO BE - HW'!H65+NPV(Faktory!$D$5,'TCO TO BE - HW'!H66:H74)+'TCO TO BE - HW'!H75+NPV(Faktory!$D$5,'TCO TO BE - HW'!H76:H84))</f>
        <v>0</v>
      </c>
      <c r="G12" s="430">
        <f>('TCO TO BE - HW'!I35+NPV(Faktory!$D$5,'TCO TO BE - HW'!I36:I44)+'TCO TO BE - HW'!I45+NPV(Faktory!$D$5,'TCO TO BE - HW'!I46:I54)+'TCO TO BE - HW'!I55+NPV(Faktory!$D$5,'TCO TO BE - HW'!I56:I64)+'TCO TO BE - HW'!I65+NPV(Faktory!$D$5,'TCO TO BE - HW'!I66:I74)+'TCO TO BE - HW'!I75+NPV(Faktory!$D$5,'TCO TO BE - HW'!I76:I84))</f>
        <v>0</v>
      </c>
      <c r="H12" s="433" t="s">
        <v>204</v>
      </c>
      <c r="I12" s="432">
        <f t="shared" si="0"/>
        <v>128050.56206284526</v>
      </c>
      <c r="M12" s="273"/>
      <c r="N12" s="274"/>
      <c r="O12" s="275" t="s">
        <v>66</v>
      </c>
      <c r="P12" s="430">
        <f>'TCO TO BE - HW'!F34</f>
        <v>0</v>
      </c>
      <c r="Q12" s="430">
        <f>'TCO TO BE - HW'!G34</f>
        <v>171600</v>
      </c>
      <c r="R12" s="430">
        <f>'TCO TO BE - HW'!H34</f>
        <v>0</v>
      </c>
      <c r="S12" s="430">
        <f>'TCO TO BE - HW'!I34</f>
        <v>0</v>
      </c>
      <c r="T12" s="433" t="s">
        <v>204</v>
      </c>
      <c r="U12" s="432">
        <f t="shared" si="1"/>
        <v>171600</v>
      </c>
    </row>
    <row r="13" spans="1:22" x14ac:dyDescent="0.3">
      <c r="A13" s="273"/>
      <c r="B13" s="271" t="s">
        <v>265</v>
      </c>
      <c r="C13" s="272"/>
      <c r="D13" s="493">
        <f>'TCO TO BE- SW'!G130+NPV(0.05,'TCO TO BE- SW'!G131:G139)+'TCO TO BE- SW'!G140+NPV(0.05,'TCO TO BE- SW'!G141:G149)</f>
        <v>515221.1233401926</v>
      </c>
      <c r="E13" s="493">
        <f>'TCO TO BE- SW'!H130+NPV(0.05,'TCO TO BE- SW'!H131:H139)+'TCO TO BE- SW'!H140+NPV(0.05,'TCO TO BE- SW'!H141:H149)</f>
        <v>19524.750486497407</v>
      </c>
      <c r="F13" s="493">
        <f>'TCO TO BE- SW'!I130+NPV(0.05,'TCO TO BE- SW'!I131:I139)+'TCO TO BE- SW'!I140+NPV(0.05,'TCO TO BE- SW'!I141:I149)</f>
        <v>17705.647674698572</v>
      </c>
      <c r="G13" s="494">
        <f>'TCO TO BE- SW'!J130+NPV(0.05,'TCO TO BE- SW'!J131:J139)+'TCO TO BE- SW'!J140+NPV(0.05,'TCO TO BE- SW'!J141:J149)</f>
        <v>1133.986168394086</v>
      </c>
      <c r="H13" s="493">
        <f>'TCO TO BE- SW'!K130+NPV(0.05,'TCO TO BE- SW'!K131:K139)+'TCO TO BE- SW'!K140+NPV(0.05,'TCO TO BE- SW'!K141:K149)</f>
        <v>43194.564050647452</v>
      </c>
      <c r="I13" s="429">
        <f>SUM(D13:H13)</f>
        <v>596780.07172043016</v>
      </c>
      <c r="M13" s="273"/>
      <c r="N13" s="271" t="s">
        <v>265</v>
      </c>
      <c r="O13" s="272"/>
      <c r="P13" s="493">
        <f>'TCO TO BE- SW'!G129</f>
        <v>527787.49220214854</v>
      </c>
      <c r="Q13" s="493">
        <f>'TCO TO BE- SW'!H129</f>
        <v>20000.963912997348</v>
      </c>
      <c r="R13" s="493">
        <f>'TCO TO BE- SW'!I129</f>
        <v>18137.492739935122</v>
      </c>
      <c r="S13" s="494">
        <f>'TCO TO BE- SW'!J129</f>
        <v>1161.6443676232097</v>
      </c>
      <c r="T13" s="493">
        <f>'TCO TO BE- SW'!K129</f>
        <v>44248.090003102268</v>
      </c>
      <c r="U13" s="429">
        <f>SUM(P13:T13)</f>
        <v>611335.68322580669</v>
      </c>
      <c r="V13" s="651">
        <f>U13/SUM(U6:U8,U10:U12)</f>
        <v>4.6891051033727184E-2</v>
      </c>
    </row>
    <row r="14" spans="1:22" x14ac:dyDescent="0.3">
      <c r="A14" s="273"/>
      <c r="B14" s="271" t="s">
        <v>292</v>
      </c>
      <c r="C14" s="272"/>
      <c r="D14" s="493">
        <f>'TCO TO BE- SW'!G151+NPV(0.05,'TCO TO BE- SW'!G152:G160)+'TCO TO BE- SW'!G161+NPV(0.05,'TCO TO BE- SW'!G162:G170)</f>
        <v>0</v>
      </c>
      <c r="E14" s="493">
        <f>'TCO TO BE- SW'!H151+NPV(0.05,'TCO TO BE- SW'!H152:H160)+'TCO TO BE- SW'!H161+NPV(0.05,'TCO TO BE- SW'!H162:H170)</f>
        <v>0</v>
      </c>
      <c r="F14" s="493">
        <f>'TCO TO BE- SW'!I151+NPV(0.05,'TCO TO BE- SW'!I152:I160)+'TCO TO BE- SW'!I161+NPV(0.05,'TCO TO BE- SW'!I162:I170)</f>
        <v>0</v>
      </c>
      <c r="G14" s="494">
        <f>'TCO TO BE- SW'!J151+NPV(0.05,'TCO TO BE- SW'!J152:J160)+'TCO TO BE- SW'!J161+NPV(0.05,'TCO TO BE- SW'!J162:J170)</f>
        <v>0</v>
      </c>
      <c r="H14" s="493">
        <f>'TCO TO BE- SW'!K151+NPV(0.05,'TCO TO BE- SW'!K152:K160)+'TCO TO BE- SW'!K161+NPV(0.05,'TCO TO BE- SW'!K162:K170)</f>
        <v>0</v>
      </c>
      <c r="I14" s="429">
        <f>SUM(D14:H14)</f>
        <v>0</v>
      </c>
      <c r="M14" s="273"/>
      <c r="N14" s="271" t="s">
        <v>292</v>
      </c>
      <c r="O14" s="272"/>
      <c r="P14" s="493">
        <f>'TCO TO BE- SW'!G150</f>
        <v>0</v>
      </c>
      <c r="Q14" s="493">
        <f>'TCO TO BE- SW'!H150</f>
        <v>0</v>
      </c>
      <c r="R14" s="493">
        <f>'TCO TO BE- SW'!I150</f>
        <v>0</v>
      </c>
      <c r="S14" s="494">
        <f>'TCO TO BE- SW'!J150</f>
        <v>0</v>
      </c>
      <c r="T14" s="493">
        <f>'TCO TO BE- SW'!K150</f>
        <v>0</v>
      </c>
      <c r="U14" s="429">
        <f>SUM(P14:T14)</f>
        <v>0</v>
      </c>
    </row>
    <row r="15" spans="1:22" x14ac:dyDescent="0.3">
      <c r="A15" s="265" t="s">
        <v>198</v>
      </c>
      <c r="B15" s="266"/>
      <c r="C15" s="267"/>
      <c r="D15" s="424">
        <f>D16+D19</f>
        <v>14602416.14609741</v>
      </c>
      <c r="E15" s="424">
        <f>E16+E19</f>
        <v>999169.10894549545</v>
      </c>
      <c r="F15" s="424">
        <f>F16+F19</f>
        <v>497162.79544777179</v>
      </c>
      <c r="G15" s="425">
        <f>G16+G19</f>
        <v>31816.18481596409</v>
      </c>
      <c r="H15" s="492" t="s">
        <v>204</v>
      </c>
      <c r="I15" s="426">
        <f t="shared" si="0"/>
        <v>16130564.235306643</v>
      </c>
      <c r="M15" s="265" t="s">
        <v>198</v>
      </c>
      <c r="N15" s="266"/>
      <c r="O15" s="267"/>
      <c r="P15" s="268">
        <f>P16+P19</f>
        <v>18978223.399550736</v>
      </c>
      <c r="Q15" s="268">
        <f>Q16+Q19</f>
        <v>1298583.3559171301</v>
      </c>
      <c r="R15" s="268">
        <f>R16+R19</f>
        <v>646144.20679105213</v>
      </c>
      <c r="S15" s="269">
        <f>S16+S19</f>
        <v>41350.325666491437</v>
      </c>
      <c r="T15" s="492" t="s">
        <v>204</v>
      </c>
      <c r="U15" s="410">
        <f t="shared" si="1"/>
        <v>20964301.287925407</v>
      </c>
    </row>
    <row r="16" spans="1:22" x14ac:dyDescent="0.3">
      <c r="A16" s="270"/>
      <c r="B16" s="271" t="s">
        <v>17</v>
      </c>
      <c r="C16" s="272"/>
      <c r="D16" s="427">
        <f>D17+D18</f>
        <v>0</v>
      </c>
      <c r="E16" s="427">
        <f>E17+E18</f>
        <v>0</v>
      </c>
      <c r="F16" s="427">
        <f>F17+F18</f>
        <v>0</v>
      </c>
      <c r="G16" s="428">
        <f>G17+G18</f>
        <v>0</v>
      </c>
      <c r="H16" s="490" t="s">
        <v>204</v>
      </c>
      <c r="I16" s="429">
        <f t="shared" si="0"/>
        <v>0</v>
      </c>
      <c r="M16" s="270"/>
      <c r="N16" s="271" t="s">
        <v>17</v>
      </c>
      <c r="O16" s="272"/>
      <c r="P16" s="427">
        <f>P17+P18</f>
        <v>0</v>
      </c>
      <c r="Q16" s="427">
        <f>Q17+Q18</f>
        <v>0</v>
      </c>
      <c r="R16" s="427">
        <f>R17+R18</f>
        <v>0</v>
      </c>
      <c r="S16" s="428">
        <f>S17+S18</f>
        <v>0</v>
      </c>
      <c r="T16" s="490" t="s">
        <v>204</v>
      </c>
      <c r="U16" s="429">
        <f t="shared" si="1"/>
        <v>0</v>
      </c>
    </row>
    <row r="17" spans="1:22" x14ac:dyDescent="0.3">
      <c r="A17" s="273"/>
      <c r="B17" s="274"/>
      <c r="C17" s="275" t="s">
        <v>47</v>
      </c>
      <c r="D17" s="430">
        <f>'Parametre - Agendové IS'!I137+NPV(Faktory!$D$3,'Parametre - Agendové IS'!I138:I146)</f>
        <v>0</v>
      </c>
      <c r="E17" s="430">
        <f>'Parametre - Agendové IS'!L137+NPV(Faktory!$D$3,'Parametre - Agendové IS'!L138:L146)</f>
        <v>0</v>
      </c>
      <c r="F17" s="430">
        <f>'Parametre - Agendové IS'!O137+NPV(Faktory!$D$3,'Parametre - Agendové IS'!O138:O146)</f>
        <v>0</v>
      </c>
      <c r="G17" s="431">
        <f>'Parametre - Agendové IS'!R137+NPV(Faktory!$D$3,'Parametre - Agendové IS'!R138:R146)</f>
        <v>0</v>
      </c>
      <c r="H17" s="433" t="s">
        <v>204</v>
      </c>
      <c r="I17" s="432">
        <f t="shared" si="0"/>
        <v>0</v>
      </c>
      <c r="M17" s="273"/>
      <c r="N17" s="274"/>
      <c r="O17" s="275" t="s">
        <v>47</v>
      </c>
      <c r="P17" s="430">
        <f>SUM('Parametre - Agendové IS'!I137:I146)</f>
        <v>0</v>
      </c>
      <c r="Q17" s="430">
        <f>SUM('Parametre - Agendové IS'!L137:L146)</f>
        <v>0</v>
      </c>
      <c r="R17" s="430">
        <f>SUM('Parametre - Agendové IS'!O137:O146)</f>
        <v>0</v>
      </c>
      <c r="S17" s="431">
        <f>SUM('Parametre - Agendové IS'!R137:R146)</f>
        <v>0</v>
      </c>
      <c r="T17" s="433" t="s">
        <v>204</v>
      </c>
      <c r="U17" s="432">
        <f t="shared" si="1"/>
        <v>0</v>
      </c>
    </row>
    <row r="18" spans="1:22" x14ac:dyDescent="0.3">
      <c r="A18" s="273"/>
      <c r="B18" s="274"/>
      <c r="C18" s="275" t="s">
        <v>48</v>
      </c>
      <c r="D18" s="430"/>
      <c r="E18" s="430"/>
      <c r="F18" s="430"/>
      <c r="G18" s="431"/>
      <c r="H18" s="433" t="s">
        <v>204</v>
      </c>
      <c r="I18" s="432">
        <f>'Prínosy - Agendové IS'!G15</f>
        <v>0</v>
      </c>
      <c r="J18" s="411"/>
      <c r="M18" s="273"/>
      <c r="N18" s="274"/>
      <c r="O18" s="275" t="s">
        <v>48</v>
      </c>
      <c r="P18" s="430"/>
      <c r="Q18" s="430"/>
      <c r="R18" s="430"/>
      <c r="S18" s="431"/>
      <c r="T18" s="433" t="s">
        <v>204</v>
      </c>
      <c r="U18" s="432">
        <f>'Prínosy - Agendové IS'!G14</f>
        <v>0</v>
      </c>
      <c r="V18" s="411"/>
    </row>
    <row r="19" spans="1:22" x14ac:dyDescent="0.3">
      <c r="A19" s="270"/>
      <c r="B19" s="271" t="s">
        <v>18</v>
      </c>
      <c r="C19" s="272"/>
      <c r="D19" s="427">
        <f>D20+D21+D23</f>
        <v>14602416.14609741</v>
      </c>
      <c r="E19" s="427">
        <f>E20+E21+E23</f>
        <v>999169.10894549545</v>
      </c>
      <c r="F19" s="427">
        <f>F20+F21+F23</f>
        <v>497162.79544777179</v>
      </c>
      <c r="G19" s="428">
        <f>G20+G21+G23</f>
        <v>31816.18481596409</v>
      </c>
      <c r="H19" s="490" t="s">
        <v>204</v>
      </c>
      <c r="I19" s="429">
        <f>SUM(D19:G19)</f>
        <v>16130564.235306643</v>
      </c>
      <c r="M19" s="270"/>
      <c r="N19" s="271" t="s">
        <v>18</v>
      </c>
      <c r="O19" s="272"/>
      <c r="P19" s="427">
        <f>P20+P21+P23</f>
        <v>18978223.399550736</v>
      </c>
      <c r="Q19" s="427">
        <f>Q20+Q21+Q23</f>
        <v>1298583.3559171301</v>
      </c>
      <c r="R19" s="427">
        <f>R20+R21+R23</f>
        <v>646144.20679105213</v>
      </c>
      <c r="S19" s="428">
        <f>S20+S21+S23</f>
        <v>41350.325666491437</v>
      </c>
      <c r="T19" s="490" t="s">
        <v>204</v>
      </c>
      <c r="U19" s="429">
        <f t="shared" si="1"/>
        <v>20964301.287925407</v>
      </c>
    </row>
    <row r="20" spans="1:22" x14ac:dyDescent="0.3">
      <c r="A20" s="273"/>
      <c r="B20" s="274"/>
      <c r="C20" s="275" t="s">
        <v>200</v>
      </c>
      <c r="D20" s="430">
        <f>'Parametre - Agendové IS'!I117+NPV(Faktory!$D$5,'Parametre - Agendové IS'!I118:I126)</f>
        <v>0</v>
      </c>
      <c r="E20" s="430">
        <f>'Parametre - Agendové IS'!L117+NPV(Faktory!$D$5,'Parametre - Agendové IS'!L118:L126)</f>
        <v>0</v>
      </c>
      <c r="F20" s="430">
        <f>'Parametre - Agendové IS'!O117+NPV(Faktory!$D$5,'Parametre - Agendové IS'!O118:O126)</f>
        <v>0</v>
      </c>
      <c r="G20" s="431">
        <f>'Parametre - Agendové IS'!R117+NPV(Faktory!$D$5,'Parametre - Agendové IS'!R118:R126)</f>
        <v>0</v>
      </c>
      <c r="H20" s="433" t="s">
        <v>204</v>
      </c>
      <c r="I20" s="432">
        <f>SUM(D20:G20)</f>
        <v>0</v>
      </c>
      <c r="M20" s="273"/>
      <c r="N20" s="274"/>
      <c r="O20" s="275" t="s">
        <v>200</v>
      </c>
      <c r="P20" s="430">
        <f>SUM('Parametre - Agendové IS'!I117:I126)</f>
        <v>0</v>
      </c>
      <c r="Q20" s="430">
        <f>SUM('Parametre - Agendové IS'!L117:L126)</f>
        <v>0</v>
      </c>
      <c r="R20" s="430">
        <f>SUM('Parametre - Agendové IS'!O117:O126)</f>
        <v>0</v>
      </c>
      <c r="S20" s="431">
        <f>SUM('Parametre - Agendové IS'!R117:R126)</f>
        <v>0</v>
      </c>
      <c r="T20" s="433" t="s">
        <v>204</v>
      </c>
      <c r="U20" s="432">
        <f t="shared" si="1"/>
        <v>0</v>
      </c>
    </row>
    <row r="21" spans="1:22" x14ac:dyDescent="0.3">
      <c r="A21" s="273"/>
      <c r="B21" s="274"/>
      <c r="C21" s="275" t="s">
        <v>199</v>
      </c>
      <c r="D21" s="430">
        <f>-('Parametre - Agendové IS'!I97+NPV(Faktory!$D$5,'Parametre - Agendové IS'!I98:I106))</f>
        <v>8001605.1773180272</v>
      </c>
      <c r="E21" s="430">
        <f>-('Parametre - Agendové IS'!L97+NPV(Faktory!$D$5,'Parametre - Agendové IS'!L98:L106))</f>
        <v>547509.16801472066</v>
      </c>
      <c r="F21" s="430">
        <f>-('Parametre - Agendové IS'!O97+NPV(Faktory!$D$5,'Parametre - Agendové IS'!O98:O106))</f>
        <v>272427.54611454951</v>
      </c>
      <c r="G21" s="431">
        <f>-('Parametre - Agendové IS'!R97+NPV(Faktory!$D$5,'Parametre - Agendové IS'!R98:R106))</f>
        <v>17434.138747919729</v>
      </c>
      <c r="H21" s="433" t="s">
        <v>204</v>
      </c>
      <c r="I21" s="432">
        <f>SUM(D21:G21)</f>
        <v>8838976.0301952157</v>
      </c>
      <c r="M21" s="273"/>
      <c r="N21" s="274"/>
      <c r="O21" s="275" t="s">
        <v>199</v>
      </c>
      <c r="P21" s="430">
        <f>-(SUM('Parametre - Agendové IS'!I97:I106))</f>
        <v>10399392.065725224</v>
      </c>
      <c r="Q21" s="430">
        <f>-(SUM('Parametre - Agendové IS'!L97:L106))</f>
        <v>711577.53620537138</v>
      </c>
      <c r="R21" s="430">
        <f>-(SUM('Parametre - Agendové IS'!O97:O106))</f>
        <v>354064.06574264768</v>
      </c>
      <c r="S21" s="431">
        <f>-(SUM('Parametre - Agendové IS'!R97:R106))</f>
        <v>22658.509155364081</v>
      </c>
      <c r="T21" s="433" t="s">
        <v>204</v>
      </c>
      <c r="U21" s="432">
        <f t="shared" si="1"/>
        <v>11487692.176828608</v>
      </c>
    </row>
    <row r="22" spans="1:22" x14ac:dyDescent="0.3">
      <c r="A22" s="273"/>
      <c r="B22" s="274"/>
      <c r="C22" s="275" t="s">
        <v>201</v>
      </c>
      <c r="D22" s="433" t="s">
        <v>204</v>
      </c>
      <c r="E22" s="433" t="s">
        <v>204</v>
      </c>
      <c r="F22" s="433" t="s">
        <v>204</v>
      </c>
      <c r="G22" s="434" t="s">
        <v>204</v>
      </c>
      <c r="H22" s="433" t="s">
        <v>204</v>
      </c>
      <c r="I22" s="435" t="s">
        <v>204</v>
      </c>
      <c r="M22" s="273"/>
      <c r="N22" s="274"/>
      <c r="O22" s="275" t="s">
        <v>201</v>
      </c>
      <c r="P22" s="430">
        <f>SUM('Parametre - Agendové IS'!I107:I116)</f>
        <v>0</v>
      </c>
      <c r="Q22" s="430">
        <f>SUM('Parametre - Agendové IS'!L107:L116)</f>
        <v>0</v>
      </c>
      <c r="R22" s="430">
        <f>SUM('Parametre - Agendové IS'!O107:O116)</f>
        <v>0</v>
      </c>
      <c r="S22" s="431">
        <f>SUM('Parametre - Agendové IS'!R107:R116)</f>
        <v>0</v>
      </c>
      <c r="T22" s="433" t="s">
        <v>204</v>
      </c>
      <c r="U22" s="432">
        <f t="shared" si="1"/>
        <v>0</v>
      </c>
    </row>
    <row r="23" spans="1:22" ht="15" thickBot="1" x14ac:dyDescent="0.35">
      <c r="A23" s="276"/>
      <c r="B23" s="277"/>
      <c r="C23" s="278" t="s">
        <v>39</v>
      </c>
      <c r="D23" s="436">
        <f>'Parametre - Agendové IS'!I157+NPV(Faktory!$D$5,'Parametre - Agendové IS'!I158:I166)</f>
        <v>6600810.9687793823</v>
      </c>
      <c r="E23" s="436">
        <f>'Parametre - Agendové IS'!L157+NPV(Faktory!$D$5,'Parametre - Agendové IS'!L158:L166)</f>
        <v>451659.94093077473</v>
      </c>
      <c r="F23" s="436">
        <f>'Parametre - Agendové IS'!O157+NPV(Faktory!$D$5,'Parametre - Agendové IS'!O158:O166)</f>
        <v>224735.24933322231</v>
      </c>
      <c r="G23" s="437">
        <f>'Parametre - Agendové IS'!R157+NPV(Faktory!$D$5,'Parametre - Agendové IS'!R158:R166)</f>
        <v>14382.046068044361</v>
      </c>
      <c r="H23" s="491" t="s">
        <v>204</v>
      </c>
      <c r="I23" s="438">
        <f>SUM(D23:G23)</f>
        <v>7291588.2051114235</v>
      </c>
      <c r="M23" s="273"/>
      <c r="N23" s="274"/>
      <c r="O23" s="275" t="s">
        <v>39</v>
      </c>
      <c r="P23" s="430">
        <f>SUM('Parametre - Agendové IS'!I157:I166)</f>
        <v>8578831.3338255137</v>
      </c>
      <c r="Q23" s="430">
        <f>SUM('Parametre - Agendové IS'!L157:L166)</f>
        <v>587005.81971175887</v>
      </c>
      <c r="R23" s="430">
        <f>SUM('Parametre - Agendové IS'!O157:O166)</f>
        <v>292080.14104840445</v>
      </c>
      <c r="S23" s="431">
        <f>SUM('Parametre - Agendové IS'!R157:R166)</f>
        <v>18691.816511127356</v>
      </c>
      <c r="T23" s="491" t="s">
        <v>204</v>
      </c>
      <c r="U23" s="439">
        <f t="shared" si="1"/>
        <v>9476609.1110968068</v>
      </c>
    </row>
    <row r="24" spans="1:22" x14ac:dyDescent="0.3">
      <c r="A24" s="270"/>
      <c r="B24" s="271" t="s">
        <v>205</v>
      </c>
      <c r="C24" s="272"/>
      <c r="D24" s="488"/>
      <c r="E24" s="489"/>
      <c r="F24" s="489"/>
      <c r="G24" s="489"/>
      <c r="H24" s="495"/>
      <c r="I24" s="496"/>
      <c r="M24" s="270"/>
      <c r="N24" s="271" t="s">
        <v>205</v>
      </c>
      <c r="O24" s="272"/>
      <c r="P24" s="488"/>
      <c r="Q24" s="489"/>
      <c r="R24" s="489"/>
      <c r="S24" s="489"/>
      <c r="T24" s="495"/>
      <c r="U24" s="496"/>
    </row>
    <row r="25" spans="1:22" x14ac:dyDescent="0.3">
      <c r="A25" s="412"/>
      <c r="B25" s="413"/>
      <c r="C25" s="414" t="s">
        <v>370</v>
      </c>
      <c r="M25" s="412"/>
      <c r="N25" s="413"/>
      <c r="O25" s="414" t="s">
        <v>370</v>
      </c>
    </row>
    <row r="26" spans="1:22" x14ac:dyDescent="0.3">
      <c r="A26" s="412"/>
      <c r="B26" s="413"/>
      <c r="C26" s="414" t="s">
        <v>206</v>
      </c>
      <c r="M26" s="412"/>
      <c r="N26" s="413"/>
      <c r="O26" s="414" t="s">
        <v>206</v>
      </c>
    </row>
    <row r="27" spans="1:22" x14ac:dyDescent="0.3">
      <c r="A27" s="412"/>
      <c r="B27" s="413"/>
      <c r="C27" s="414" t="s">
        <v>206</v>
      </c>
      <c r="M27" s="412"/>
      <c r="N27" s="413"/>
      <c r="O27" s="414" t="s">
        <v>206</v>
      </c>
    </row>
  </sheetData>
  <sheetProtection insertColumns="0" insertRows="0" deleteColumns="0" deleteRows="0"/>
  <mergeCells count="4">
    <mergeCell ref="M1:O1"/>
    <mergeCell ref="A1:C1"/>
    <mergeCell ref="M2:O2"/>
    <mergeCell ref="A2:C2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colBreaks count="1" manualBreakCount="1">
    <brk id="10" max="1048575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24"/>
  <sheetViews>
    <sheetView showGridLines="0" zoomScale="80" zoomScaleNormal="80" workbookViewId="0">
      <pane ySplit="3" topLeftCell="A4" activePane="bottomLeft" state="frozen"/>
      <selection pane="bottomLeft" activeCell="J15" sqref="J15"/>
    </sheetView>
  </sheetViews>
  <sheetFormatPr defaultColWidth="8.88671875" defaultRowHeight="14.4" x14ac:dyDescent="0.3"/>
  <cols>
    <col min="1" max="1" width="9.33203125" customWidth="1"/>
    <col min="2" max="2" width="15" customWidth="1"/>
    <col min="3" max="3" width="15.109375" customWidth="1"/>
    <col min="4" max="4" width="14.109375" customWidth="1"/>
    <col min="5" max="5" width="14.44140625" customWidth="1"/>
    <col min="6" max="6" width="15.109375" customWidth="1"/>
    <col min="7" max="7" width="13.6640625" customWidth="1"/>
    <col min="8" max="8" width="9.88671875" customWidth="1"/>
    <col min="9" max="9" width="22.6640625" customWidth="1"/>
    <col min="10" max="10" width="22.109375" customWidth="1"/>
    <col min="11" max="11" width="20.44140625" customWidth="1"/>
    <col min="12" max="12" width="23.109375" customWidth="1"/>
    <col min="13" max="13" width="12" bestFit="1" customWidth="1"/>
  </cols>
  <sheetData>
    <row r="1" spans="1:13" ht="15" thickBot="1" x14ac:dyDescent="0.35">
      <c r="A1" s="9"/>
      <c r="B1" s="1093" t="s">
        <v>36</v>
      </c>
      <c r="C1" s="1094"/>
      <c r="D1" s="1094"/>
      <c r="E1" s="1094"/>
      <c r="F1" s="1094"/>
      <c r="G1" s="1095"/>
      <c r="H1" s="1096" t="s">
        <v>16</v>
      </c>
      <c r="I1" s="1097"/>
      <c r="J1" s="1097"/>
      <c r="K1" s="1097"/>
      <c r="L1" s="1098"/>
    </row>
    <row r="2" spans="1:13" ht="28.8" x14ac:dyDescent="0.3">
      <c r="A2" s="10"/>
      <c r="B2" s="1096" t="s">
        <v>303</v>
      </c>
      <c r="C2" s="1097"/>
      <c r="D2" s="1098"/>
      <c r="E2" s="1096" t="s">
        <v>304</v>
      </c>
      <c r="F2" s="1097"/>
      <c r="G2" s="1098"/>
      <c r="H2" s="54" t="s">
        <v>19</v>
      </c>
      <c r="I2" s="49" t="s">
        <v>20</v>
      </c>
      <c r="J2" s="12" t="s">
        <v>21</v>
      </c>
      <c r="K2" s="1099" t="s">
        <v>22</v>
      </c>
      <c r="L2" s="1100"/>
    </row>
    <row r="3" spans="1:13" ht="15" thickBot="1" x14ac:dyDescent="0.35">
      <c r="A3" s="11" t="s">
        <v>23</v>
      </c>
      <c r="B3" s="14" t="s">
        <v>210</v>
      </c>
      <c r="C3" s="15" t="s">
        <v>156</v>
      </c>
      <c r="D3" s="16" t="s">
        <v>24</v>
      </c>
      <c r="E3" s="14" t="s">
        <v>210</v>
      </c>
      <c r="F3" s="15" t="s">
        <v>156</v>
      </c>
      <c r="G3" s="16" t="s">
        <v>24</v>
      </c>
      <c r="H3" s="55"/>
      <c r="I3" s="50"/>
      <c r="J3" s="13"/>
      <c r="K3" s="1091"/>
      <c r="L3" s="1092"/>
    </row>
    <row r="4" spans="1:13" x14ac:dyDescent="0.3">
      <c r="A4" s="48" t="s">
        <v>25</v>
      </c>
      <c r="B4" s="27">
        <f>'Prínosy - Agendové IS'!Q4-'Výdavky - Agendové IS'!T4</f>
        <v>-31564.799999999999</v>
      </c>
      <c r="C4" s="26">
        <f>'Prínosy - Agendové IS'!R4-'Výdavky - Agendové IS'!U4</f>
        <v>-3592577.3536129035</v>
      </c>
      <c r="D4" s="34">
        <f>C4-B4</f>
        <v>-3561012.5536129037</v>
      </c>
      <c r="E4" s="27">
        <f>'Prínosy - Agendové IS'!T4-('Výdavky - Agendové IS'!T4/1.2)</f>
        <v>-1164692.6188505755</v>
      </c>
      <c r="F4" s="27">
        <f>'Prínosy - Agendové IS'!U4-('Výdavky - Agendové IS'!U4/1.2)</f>
        <v>-4132203.0801946623</v>
      </c>
      <c r="G4" s="34">
        <f t="shared" ref="G4:G13" si="0">F4-E4</f>
        <v>-2967510.4613440866</v>
      </c>
      <c r="H4" s="56">
        <v>0</v>
      </c>
      <c r="I4" s="51">
        <f>D4*(1/(1+Faktory!$D$3)^H4)</f>
        <v>-3561012.5536129037</v>
      </c>
      <c r="J4" s="58">
        <f>G4*(1/(1+Faktory!$D$5)^H4)</f>
        <v>-2967510.4613440866</v>
      </c>
      <c r="K4" s="57">
        <f>J4</f>
        <v>-2967510.4613440866</v>
      </c>
      <c r="L4" s="31" t="str">
        <f>IF(K4&gt;0,"Rok návratu investície","&lt;")</f>
        <v>&lt;</v>
      </c>
      <c r="M4" s="135"/>
    </row>
    <row r="5" spans="1:13" x14ac:dyDescent="0.3">
      <c r="A5" s="33" t="s">
        <v>26</v>
      </c>
      <c r="B5" s="27">
        <f>'Prínosy - Agendové IS'!Q5-'Výdavky - Agendové IS'!T5</f>
        <v>-31564.799999999999</v>
      </c>
      <c r="C5" s="26">
        <f>'Prínosy - Agendové IS'!R5-'Výdavky - Agendové IS'!U5</f>
        <v>-5463785.0536129056</v>
      </c>
      <c r="D5" s="29">
        <f t="shared" ref="D5:D13" si="1">C5-B5</f>
        <v>-5432220.2536129057</v>
      </c>
      <c r="E5" s="27">
        <f>'Prínosy - Agendové IS'!T5-('Výdavky - Agendové IS'!T5/1.2)</f>
        <v>-1164692.6188505755</v>
      </c>
      <c r="F5" s="27">
        <f>'Prínosy - Agendové IS'!U5-('Výdavky - Agendové IS'!U5/1.2)</f>
        <v>-5691542.8301946642</v>
      </c>
      <c r="G5" s="29">
        <f t="shared" si="0"/>
        <v>-4526850.2113440884</v>
      </c>
      <c r="H5" s="56">
        <v>1</v>
      </c>
      <c r="I5" s="52">
        <f>D5*(1/(1+Faktory!$D$3)^H5)</f>
        <v>-5223288.7053970248</v>
      </c>
      <c r="J5" s="59">
        <f>G5*(1/(1+Faktory!$D$5)^H5)</f>
        <v>-4311285.9155657981</v>
      </c>
      <c r="K5" s="57">
        <f>J5+K4</f>
        <v>-7278796.3769098846</v>
      </c>
      <c r="L5" s="31" t="str">
        <f>IF(L4="&lt;",IF(K5&gt;0,"Rok návratu investície","&lt;"),"&gt;")</f>
        <v>&lt;</v>
      </c>
    </row>
    <row r="6" spans="1:13" x14ac:dyDescent="0.3">
      <c r="A6" s="33" t="s">
        <v>27</v>
      </c>
      <c r="B6" s="27">
        <f>'Prínosy - Agendové IS'!Q6-'Výdavky - Agendové IS'!T6</f>
        <v>-31564.799999999999</v>
      </c>
      <c r="C6" s="26">
        <f>'Prínosy - Agendové IS'!R6-'Výdavky - Agendové IS'!U6</f>
        <v>-552592.11300000013</v>
      </c>
      <c r="D6" s="29">
        <f t="shared" si="1"/>
        <v>-521027.31300000014</v>
      </c>
      <c r="E6" s="27">
        <f>'Prínosy - Agendové IS'!T6-('Výdavky - Agendové IS'!T6/1.2)</f>
        <v>-2600654.1409541517</v>
      </c>
      <c r="F6" s="27">
        <f>'Prínosy - Agendové IS'!U6-('Výdavky - Agendové IS'!U6/1.2)</f>
        <v>-414305.90746347455</v>
      </c>
      <c r="G6" s="29">
        <f t="shared" si="0"/>
        <v>2186348.2334906771</v>
      </c>
      <c r="H6" s="56">
        <v>2</v>
      </c>
      <c r="I6" s="52">
        <f>D6*(1/(1+Faktory!$D$3)^H6)</f>
        <v>-481719.03938609472</v>
      </c>
      <c r="J6" s="59">
        <f>G6*(1/(1+Faktory!$D$5)^H6)</f>
        <v>1983082.2979507274</v>
      </c>
      <c r="K6" s="57">
        <f t="shared" ref="K6:K13" si="2">J6+K5</f>
        <v>-5295714.0789591577</v>
      </c>
      <c r="L6" s="31" t="str">
        <f t="shared" ref="L6:L13" si="3">IF(L5="&lt;",IF(K6&gt;0,"Rok návratu investície","&lt;"),"&gt;")</f>
        <v>&lt;</v>
      </c>
    </row>
    <row r="7" spans="1:13" x14ac:dyDescent="0.3">
      <c r="A7" s="33" t="s">
        <v>28</v>
      </c>
      <c r="B7" s="27">
        <f>'Prínosy - Agendové IS'!Q7-'Výdavky - Agendové IS'!T7</f>
        <v>-31564.799999999999</v>
      </c>
      <c r="C7" s="26">
        <f>'Prínosy - Agendové IS'!R7-'Výdavky - Agendové IS'!U7</f>
        <v>-552592.11300000013</v>
      </c>
      <c r="D7" s="29">
        <f t="shared" si="1"/>
        <v>-521027.31300000014</v>
      </c>
      <c r="E7" s="27">
        <f>'Prínosy - Agendové IS'!T7-('Výdavky - Agendové IS'!T7/1.2)</f>
        <v>-2600654.1409541517</v>
      </c>
      <c r="F7" s="27">
        <f>'Prínosy - Agendové IS'!U7-('Výdavky - Agendové IS'!U7/1.2)</f>
        <v>-414305.90746347455</v>
      </c>
      <c r="G7" s="29">
        <f t="shared" si="0"/>
        <v>2186348.2334906771</v>
      </c>
      <c r="H7" s="56">
        <v>3</v>
      </c>
      <c r="I7" s="52">
        <f>D7*(1/(1+Faktory!$D$3)^H7)</f>
        <v>-463191.38402509113</v>
      </c>
      <c r="J7" s="59">
        <f>G7*(1/(1+Faktory!$D$5)^H7)</f>
        <v>1888649.8075721213</v>
      </c>
      <c r="K7" s="57">
        <f t="shared" si="2"/>
        <v>-3407064.2713870364</v>
      </c>
      <c r="L7" s="31" t="str">
        <f t="shared" si="3"/>
        <v>&lt;</v>
      </c>
    </row>
    <row r="8" spans="1:13" x14ac:dyDescent="0.3">
      <c r="A8" s="33" t="s">
        <v>29</v>
      </c>
      <c r="B8" s="27">
        <f>'Prínosy - Agendové IS'!Q8-'Výdavky - Agendové IS'!T8</f>
        <v>-31564.799999999999</v>
      </c>
      <c r="C8" s="26">
        <f>'Prínosy - Agendové IS'!R8-'Výdavky - Agendové IS'!U8</f>
        <v>-552592.11300000013</v>
      </c>
      <c r="D8" s="29">
        <f t="shared" si="1"/>
        <v>-521027.31300000014</v>
      </c>
      <c r="E8" s="27">
        <f>'Prínosy - Agendové IS'!T8-('Výdavky - Agendové IS'!T8/1.2)</f>
        <v>-2600654.1409541517</v>
      </c>
      <c r="F8" s="27">
        <f>'Prínosy - Agendové IS'!U8-('Výdavky - Agendové IS'!U8/1.2)</f>
        <v>-414305.90746347455</v>
      </c>
      <c r="G8" s="29">
        <f t="shared" si="0"/>
        <v>2186348.2334906771</v>
      </c>
      <c r="H8" s="56">
        <v>4</v>
      </c>
      <c r="I8" s="52">
        <f>D8*(1/(1+Faktory!$D$3)^H8)</f>
        <v>-445376.33079335681</v>
      </c>
      <c r="J8" s="59">
        <f>G8*(1/(1+Faktory!$D$5)^H8)</f>
        <v>1798714.1024496395</v>
      </c>
      <c r="K8" s="57">
        <f t="shared" si="2"/>
        <v>-1608350.168937397</v>
      </c>
      <c r="L8" s="31" t="str">
        <f t="shared" si="3"/>
        <v>&lt;</v>
      </c>
    </row>
    <row r="9" spans="1:13" x14ac:dyDescent="0.3">
      <c r="A9" s="33" t="s">
        <v>30</v>
      </c>
      <c r="B9" s="27">
        <f>'Prínosy - Agendové IS'!Q9-'Výdavky - Agendové IS'!T9</f>
        <v>-31564.799999999999</v>
      </c>
      <c r="C9" s="26">
        <f>'Prínosy - Agendové IS'!R9-'Výdavky - Agendové IS'!U9</f>
        <v>-552592.11300000013</v>
      </c>
      <c r="D9" s="29">
        <f t="shared" si="1"/>
        <v>-521027.31300000014</v>
      </c>
      <c r="E9" s="27">
        <f>'Prínosy - Agendové IS'!T9-('Výdavky - Agendové IS'!T9/1.2)</f>
        <v>-2600654.1409541517</v>
      </c>
      <c r="F9" s="27">
        <f>'Prínosy - Agendové IS'!U9-('Výdavky - Agendové IS'!U9/1.2)</f>
        <v>-414305.90746347455</v>
      </c>
      <c r="G9" s="29">
        <f t="shared" si="0"/>
        <v>2186348.2334906771</v>
      </c>
      <c r="H9" s="56">
        <v>5</v>
      </c>
      <c r="I9" s="52">
        <f>D9*(1/(1+Faktory!$D$3)^H9)</f>
        <v>-428246.47191668919</v>
      </c>
      <c r="J9" s="59">
        <f>G9*(1/(1+Faktory!$D$5)^H9)</f>
        <v>1713061.0499520374</v>
      </c>
      <c r="K9" s="57">
        <f t="shared" si="2"/>
        <v>104710.88101464044</v>
      </c>
      <c r="L9" s="31" t="str">
        <f t="shared" si="3"/>
        <v>Rok návratu investície</v>
      </c>
    </row>
    <row r="10" spans="1:13" x14ac:dyDescent="0.3">
      <c r="A10" s="33" t="s">
        <v>31</v>
      </c>
      <c r="B10" s="27">
        <f>'Prínosy - Agendové IS'!Q10-'Výdavky - Agendové IS'!T10</f>
        <v>-31564.799999999999</v>
      </c>
      <c r="C10" s="26">
        <f>'Prínosy - Agendové IS'!R10-'Výdavky - Agendové IS'!U10</f>
        <v>-724192.11300000013</v>
      </c>
      <c r="D10" s="29">
        <f t="shared" si="1"/>
        <v>-692627.31300000008</v>
      </c>
      <c r="E10" s="27">
        <f>'Prínosy - Agendové IS'!T10-('Výdavky - Agendové IS'!T10/1.2)</f>
        <v>-2600654.1409541517</v>
      </c>
      <c r="F10" s="27">
        <f>'Prínosy - Agendové IS'!U10-('Výdavky - Agendové IS'!U10/1.2)</f>
        <v>-557305.90746347455</v>
      </c>
      <c r="G10" s="29">
        <f t="shared" si="0"/>
        <v>2043348.2334906771</v>
      </c>
      <c r="H10" s="56">
        <v>6</v>
      </c>
      <c r="I10" s="52">
        <f>D10*(1/(1+Faktory!$D$3)^H10)</f>
        <v>-547393.42638134025</v>
      </c>
      <c r="J10" s="59">
        <f>G10*(1/(1+Faktory!$D$5)^H10)</f>
        <v>1524777.9125209979</v>
      </c>
      <c r="K10" s="57">
        <f t="shared" si="2"/>
        <v>1629488.7935356384</v>
      </c>
      <c r="L10" s="31" t="str">
        <f t="shared" si="3"/>
        <v>&gt;</v>
      </c>
    </row>
    <row r="11" spans="1:13" x14ac:dyDescent="0.3">
      <c r="A11" s="33" t="s">
        <v>32</v>
      </c>
      <c r="B11" s="27">
        <f>'Prínosy - Agendové IS'!Q11-'Výdavky - Agendové IS'!T11</f>
        <v>-31564.799999999999</v>
      </c>
      <c r="C11" s="26">
        <f>'Prínosy - Agendové IS'!R11-'Výdavky - Agendové IS'!U11</f>
        <v>-552592.11300000013</v>
      </c>
      <c r="D11" s="29">
        <f t="shared" si="1"/>
        <v>-521027.31300000014</v>
      </c>
      <c r="E11" s="27">
        <f>'Prínosy - Agendové IS'!T11-('Výdavky - Agendové IS'!T11/1.2)</f>
        <v>-2600654.1409541517</v>
      </c>
      <c r="F11" s="27">
        <f>'Prínosy - Agendové IS'!U11-('Výdavky - Agendové IS'!U11/1.2)</f>
        <v>-414305.90746347455</v>
      </c>
      <c r="G11" s="29">
        <f t="shared" si="0"/>
        <v>2186348.2334906771</v>
      </c>
      <c r="H11" s="56">
        <v>7</v>
      </c>
      <c r="I11" s="52">
        <f>D11*(1/(1+Faktory!$D$3)^H11)</f>
        <v>-395937.93631350709</v>
      </c>
      <c r="J11" s="59">
        <f>G11*(1/(1+Faktory!$D$5)^H11)</f>
        <v>1553796.8707047957</v>
      </c>
      <c r="K11" s="57">
        <f t="shared" si="2"/>
        <v>3183285.6642404338</v>
      </c>
      <c r="L11" s="31" t="str">
        <f t="shared" si="3"/>
        <v>&gt;</v>
      </c>
    </row>
    <row r="12" spans="1:13" x14ac:dyDescent="0.3">
      <c r="A12" s="33" t="s">
        <v>33</v>
      </c>
      <c r="B12" s="27">
        <f>'Prínosy - Agendové IS'!Q12-'Výdavky - Agendové IS'!T12</f>
        <v>-31564.799999999999</v>
      </c>
      <c r="C12" s="26">
        <f>'Prínosy - Agendové IS'!R12-'Výdavky - Agendové IS'!U12</f>
        <v>-552592.11300000013</v>
      </c>
      <c r="D12" s="29">
        <f t="shared" si="1"/>
        <v>-521027.31300000014</v>
      </c>
      <c r="E12" s="27">
        <f>'Prínosy - Agendové IS'!T12-('Výdavky - Agendové IS'!T12/1.2)</f>
        <v>-2600654.1409541517</v>
      </c>
      <c r="F12" s="27">
        <f>'Prínosy - Agendové IS'!U12-('Výdavky - Agendové IS'!U12/1.2)</f>
        <v>-414305.90746347455</v>
      </c>
      <c r="G12" s="29">
        <f t="shared" si="0"/>
        <v>2186348.2334906771</v>
      </c>
      <c r="H12" s="56">
        <v>8</v>
      </c>
      <c r="I12" s="52">
        <f>D12*(1/(1+Faktory!$D$3)^H12)</f>
        <v>-380709.55414760287</v>
      </c>
      <c r="J12" s="59">
        <f>G12*(1/(1+Faktory!$D$5)^H12)</f>
        <v>1479806.5435283771</v>
      </c>
      <c r="K12" s="57">
        <f t="shared" si="2"/>
        <v>4663092.2077688109</v>
      </c>
      <c r="L12" s="31" t="str">
        <f t="shared" si="3"/>
        <v>&gt;</v>
      </c>
    </row>
    <row r="13" spans="1:13" ht="15" thickBot="1" x14ac:dyDescent="0.35">
      <c r="A13" s="33" t="s">
        <v>34</v>
      </c>
      <c r="B13" s="47">
        <f>'Prínosy - Agendové IS'!Q13-'Výdavky - Agendové IS'!T13</f>
        <v>-31564.799999999999</v>
      </c>
      <c r="C13" s="43">
        <f>'Prínosy - Agendové IS'!R13-'Výdavky - Agendové IS'!U13</f>
        <v>-552592.11300000013</v>
      </c>
      <c r="D13" s="35">
        <f t="shared" si="1"/>
        <v>-521027.31300000014</v>
      </c>
      <c r="E13" s="27">
        <f>'Prínosy - Agendové IS'!T13-('Výdavky - Agendové IS'!T13/1.2)</f>
        <v>-2600654.1409541517</v>
      </c>
      <c r="F13" s="27">
        <f>'Prínosy - Agendové IS'!U13-('Výdavky - Agendové IS'!U13/1.2)</f>
        <v>-414305.90746347455</v>
      </c>
      <c r="G13" s="35">
        <f t="shared" si="0"/>
        <v>2186348.2334906771</v>
      </c>
      <c r="H13" s="56">
        <v>9</v>
      </c>
      <c r="I13" s="53">
        <f>D13*(1/(1+Faktory!$D$3)^H13)</f>
        <v>-366066.87898807961</v>
      </c>
      <c r="J13" s="60">
        <f>G13*(1/(1+Faktory!$D$5)^H13)</f>
        <v>1409339.5652651209</v>
      </c>
      <c r="K13" s="57">
        <f t="shared" si="2"/>
        <v>6072431.7730339319</v>
      </c>
      <c r="L13" s="31" t="str">
        <f t="shared" si="3"/>
        <v>&gt;</v>
      </c>
    </row>
    <row r="14" spans="1:13" ht="15" thickBot="1" x14ac:dyDescent="0.35">
      <c r="A14" s="62" t="s">
        <v>35</v>
      </c>
      <c r="B14" s="44">
        <f t="shared" ref="B14:G14" si="4">SUM(B4:B13)</f>
        <v>-315647.99999999994</v>
      </c>
      <c r="C14" s="45">
        <f t="shared" si="4"/>
        <v>-13648699.311225809</v>
      </c>
      <c r="D14" s="45">
        <f t="shared" si="4"/>
        <v>-13333051.311225817</v>
      </c>
      <c r="E14" s="45">
        <f t="shared" si="4"/>
        <v>-23134618.365334366</v>
      </c>
      <c r="F14" s="45">
        <f t="shared" si="4"/>
        <v>-13281193.17009712</v>
      </c>
      <c r="G14" s="46">
        <f t="shared" si="4"/>
        <v>9853425.1952372435</v>
      </c>
      <c r="H14" s="63" t="s">
        <v>35</v>
      </c>
      <c r="I14" s="145">
        <f>SUM(I4:I13)</f>
        <v>-12292942.280961689</v>
      </c>
      <c r="J14" s="146">
        <f>SUM(J4:J13)</f>
        <v>6072431.7730339319</v>
      </c>
      <c r="K14" s="766">
        <f>J14/J15-1</f>
        <v>0</v>
      </c>
      <c r="L14" s="7"/>
    </row>
    <row r="15" spans="1:13" ht="15" thickBot="1" x14ac:dyDescent="0.35">
      <c r="J15" s="899">
        <v>6072431.7730339319</v>
      </c>
      <c r="K15" s="763" t="s">
        <v>564</v>
      </c>
    </row>
    <row r="16" spans="1:13" ht="15" thickBot="1" x14ac:dyDescent="0.35">
      <c r="H16" s="101" t="s">
        <v>169</v>
      </c>
      <c r="J16" s="156" t="s">
        <v>158</v>
      </c>
      <c r="K16" s="156" t="s">
        <v>167</v>
      </c>
    </row>
    <row r="17" spans="2:11" s="116" customFormat="1" ht="15" thickBot="1" x14ac:dyDescent="0.3">
      <c r="H17" s="150" t="s">
        <v>117</v>
      </c>
      <c r="I17" s="152" t="s">
        <v>164</v>
      </c>
      <c r="J17" s="153">
        <f>'Prínosy - Agendové IS'!V15/('Výdavky - Agendové IS'!V15/1.2)</f>
        <v>1.6037335256630552</v>
      </c>
      <c r="K17" s="157">
        <v>1</v>
      </c>
    </row>
    <row r="18" spans="2:11" s="116" customFormat="1" ht="21" thickBot="1" x14ac:dyDescent="0.3">
      <c r="H18" s="151" t="s">
        <v>161</v>
      </c>
      <c r="I18" s="152" t="s">
        <v>165</v>
      </c>
      <c r="J18" s="154" t="s">
        <v>298</v>
      </c>
      <c r="K18" s="158" t="s">
        <v>168</v>
      </c>
    </row>
    <row r="19" spans="2:11" s="116" customFormat="1" ht="21" thickBot="1" x14ac:dyDescent="0.3">
      <c r="E19" s="147"/>
      <c r="H19" s="151" t="s">
        <v>162</v>
      </c>
      <c r="I19" s="152" t="s">
        <v>166</v>
      </c>
      <c r="J19" s="154">
        <f>IRR($G$4:$G$13,0.01)</f>
        <v>0.20897521484633019</v>
      </c>
      <c r="K19" s="158">
        <v>0.05</v>
      </c>
    </row>
    <row r="20" spans="2:11" ht="15" thickBot="1" x14ac:dyDescent="0.35">
      <c r="H20" s="148"/>
      <c r="I20" s="149"/>
      <c r="J20" s="148"/>
      <c r="K20" s="159"/>
    </row>
    <row r="21" spans="2:11" s="116" customFormat="1" ht="21" thickBot="1" x14ac:dyDescent="0.3">
      <c r="H21" s="151" t="s">
        <v>163</v>
      </c>
      <c r="I21" s="152" t="s">
        <v>307</v>
      </c>
      <c r="J21" s="155">
        <f>I14</f>
        <v>-12292942.280961689</v>
      </c>
      <c r="K21" s="160" t="s">
        <v>168</v>
      </c>
    </row>
    <row r="22" spans="2:11" s="116" customFormat="1" ht="21" thickBot="1" x14ac:dyDescent="0.3">
      <c r="H22" s="151" t="s">
        <v>71</v>
      </c>
      <c r="I22" s="152" t="s">
        <v>306</v>
      </c>
      <c r="J22" s="155">
        <f>J14</f>
        <v>6072431.7730339319</v>
      </c>
      <c r="K22" s="160">
        <v>0</v>
      </c>
    </row>
    <row r="24" spans="2:11" x14ac:dyDescent="0.3">
      <c r="B24" t="s">
        <v>647</v>
      </c>
    </row>
  </sheetData>
  <mergeCells count="6">
    <mergeCell ref="K3:L3"/>
    <mergeCell ref="B1:G1"/>
    <mergeCell ref="H1:L1"/>
    <mergeCell ref="B2:D2"/>
    <mergeCell ref="E2:G2"/>
    <mergeCell ref="K2:L2"/>
  </mergeCells>
  <conditionalFormatting sqref="L4:L13">
    <cfRule type="cellIs" dxfId="410" priority="1" stopIfTrue="1" operator="equal">
      <formula>"Rok návratu investície"</formula>
    </cfRule>
  </conditionalFormatting>
  <pageMargins left="0.70866141732283472" right="0.70866141732283472" top="0.74803149606299213" bottom="0.74803149606299213" header="0.31496062992125984" footer="0.31496062992125984"/>
  <pageSetup paperSize="9" scale="65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D18"/>
  <sheetViews>
    <sheetView showGridLines="0" workbookViewId="0">
      <selection activeCell="D15" sqref="D15"/>
    </sheetView>
  </sheetViews>
  <sheetFormatPr defaultRowHeight="14.4" x14ac:dyDescent="0.3"/>
  <cols>
    <col min="1" max="1" width="3.5546875" customWidth="1"/>
    <col min="2" max="2" width="11.6640625" style="690" customWidth="1"/>
    <col min="3" max="3" width="12.6640625" style="690" customWidth="1"/>
    <col min="4" max="4" width="14.88671875" style="227" customWidth="1"/>
  </cols>
  <sheetData>
    <row r="1" spans="1:4" x14ac:dyDescent="0.3">
      <c r="B1" s="1101" t="s">
        <v>493</v>
      </c>
      <c r="C1" s="1102"/>
    </row>
    <row r="2" spans="1:4" ht="43.2" x14ac:dyDescent="0.3">
      <c r="B2" s="709" t="s">
        <v>494</v>
      </c>
      <c r="C2" s="710" t="s">
        <v>495</v>
      </c>
    </row>
    <row r="3" spans="1:4" x14ac:dyDescent="0.3">
      <c r="B3" s="691">
        <f>'Výdavky - Agendové IS'!V14</f>
        <v>13333051.311225817</v>
      </c>
      <c r="C3" s="691">
        <f>B3/1.2</f>
        <v>11110876.092688181</v>
      </c>
    </row>
    <row r="6" spans="1:4" x14ac:dyDescent="0.3">
      <c r="A6" s="692"/>
      <c r="B6" s="1103" t="s">
        <v>18</v>
      </c>
      <c r="C6" s="1104"/>
      <c r="D6" s="694"/>
    </row>
    <row r="7" spans="1:4" x14ac:dyDescent="0.3">
      <c r="A7" s="692"/>
      <c r="B7" s="695" t="s">
        <v>490</v>
      </c>
      <c r="C7" s="695" t="s">
        <v>491</v>
      </c>
      <c r="D7" s="696" t="s">
        <v>492</v>
      </c>
    </row>
    <row r="8" spans="1:4" x14ac:dyDescent="0.3">
      <c r="A8" s="697">
        <v>1</v>
      </c>
      <c r="B8" s="698">
        <f>'Prínosy - Agendové IS'!V4</f>
        <v>0</v>
      </c>
      <c r="C8" s="698">
        <f>B8</f>
        <v>0</v>
      </c>
      <c r="D8" s="699">
        <f>IF(C8&gt;C$3,1,0)</f>
        <v>0</v>
      </c>
    </row>
    <row r="9" spans="1:4" x14ac:dyDescent="0.3">
      <c r="A9" s="700">
        <v>2</v>
      </c>
      <c r="B9" s="701">
        <f>'Prínosy - Agendové IS'!V5</f>
        <v>0</v>
      </c>
      <c r="C9" s="701">
        <f>C8+B9</f>
        <v>0</v>
      </c>
      <c r="D9" s="702">
        <f>IF(AND(C9&gt;C$3,SUM(D$8:D8)=0),1,0)</f>
        <v>0</v>
      </c>
    </row>
    <row r="10" spans="1:4" x14ac:dyDescent="0.3">
      <c r="A10" s="700">
        <v>3</v>
      </c>
      <c r="B10" s="701">
        <f>'Prínosy - Agendové IS'!V6</f>
        <v>2620537.6609906773</v>
      </c>
      <c r="C10" s="701">
        <f t="shared" ref="C10:C17" si="0">C9+B10</f>
        <v>2620537.6609906773</v>
      </c>
      <c r="D10" s="702">
        <f>IF(AND(C10&gt;C$3,SUM(D$8:D9)=0),1,0)</f>
        <v>0</v>
      </c>
    </row>
    <row r="11" spans="1:4" x14ac:dyDescent="0.3">
      <c r="A11" s="700">
        <v>4</v>
      </c>
      <c r="B11" s="701">
        <f>'Prínosy - Agendové IS'!V7</f>
        <v>2620537.6609906773</v>
      </c>
      <c r="C11" s="701">
        <f t="shared" si="0"/>
        <v>5241075.3219813546</v>
      </c>
      <c r="D11" s="702">
        <f>IF(AND(C11&gt;C$3,SUM(D$8:D10)=0),1,0)</f>
        <v>0</v>
      </c>
    </row>
    <row r="12" spans="1:4" x14ac:dyDescent="0.3">
      <c r="A12" s="700">
        <v>5</v>
      </c>
      <c r="B12" s="701">
        <f>'Prínosy - Agendové IS'!V8</f>
        <v>2620537.6609906773</v>
      </c>
      <c r="C12" s="701">
        <f t="shared" si="0"/>
        <v>7861612.9829720315</v>
      </c>
      <c r="D12" s="702">
        <f>IF(AND(C12&gt;C$3,SUM(D$8:D11)=0),1,0)</f>
        <v>0</v>
      </c>
    </row>
    <row r="13" spans="1:4" x14ac:dyDescent="0.3">
      <c r="A13" s="700">
        <v>6</v>
      </c>
      <c r="B13" s="701">
        <f>'Prínosy - Agendové IS'!V9</f>
        <v>2620537.6609906773</v>
      </c>
      <c r="C13" s="701">
        <f t="shared" si="0"/>
        <v>10482150.643962709</v>
      </c>
      <c r="D13" s="702">
        <f>IF(AND(C13&gt;C$3,SUM(D$8:D12)=0),1,0)</f>
        <v>0</v>
      </c>
    </row>
    <row r="14" spans="1:4" x14ac:dyDescent="0.3">
      <c r="A14" s="700">
        <v>7</v>
      </c>
      <c r="B14" s="701">
        <f>'Prínosy - Agendové IS'!V10</f>
        <v>2620537.6609906773</v>
      </c>
      <c r="C14" s="701">
        <f t="shared" si="0"/>
        <v>13102688.304953387</v>
      </c>
      <c r="D14" s="702">
        <f>IF(AND(C14&gt;C$3,SUM(D$8:D13)=0),1,0)</f>
        <v>1</v>
      </c>
    </row>
    <row r="15" spans="1:4" x14ac:dyDescent="0.3">
      <c r="A15" s="700">
        <v>8</v>
      </c>
      <c r="B15" s="701">
        <f>'Prínosy - Agendové IS'!V11</f>
        <v>2620537.6609906773</v>
      </c>
      <c r="C15" s="701">
        <f t="shared" si="0"/>
        <v>15723225.965944065</v>
      </c>
      <c r="D15" s="702">
        <f>IF(AND(C15&gt;C$3,SUM(D$8:D14)=0),1,0)</f>
        <v>0</v>
      </c>
    </row>
    <row r="16" spans="1:4" x14ac:dyDescent="0.3">
      <c r="A16" s="700">
        <v>9</v>
      </c>
      <c r="B16" s="701">
        <f>'Prínosy - Agendové IS'!V12</f>
        <v>2620537.6609906773</v>
      </c>
      <c r="C16" s="701">
        <f t="shared" si="0"/>
        <v>18343763.626934741</v>
      </c>
      <c r="D16" s="702">
        <f>IF(AND(C16&gt;C$3,SUM(D$8:D15)=0),1,0)</f>
        <v>0</v>
      </c>
    </row>
    <row r="17" spans="1:4" x14ac:dyDescent="0.3">
      <c r="A17" s="703">
        <v>10</v>
      </c>
      <c r="B17" s="704">
        <f>'Prínosy - Agendové IS'!V13</f>
        <v>2620537.6609906773</v>
      </c>
      <c r="C17" s="704">
        <f t="shared" si="0"/>
        <v>20964301.287925418</v>
      </c>
      <c r="D17" s="705">
        <f>IF(AND(C17&gt;C$3,SUM(D$8:D16)=0),1,0)</f>
        <v>0</v>
      </c>
    </row>
    <row r="18" spans="1:4" x14ac:dyDescent="0.3">
      <c r="A18" s="706"/>
      <c r="B18" s="693">
        <f>SUM(B8:B17)</f>
        <v>20964301.287925418</v>
      </c>
      <c r="C18" s="707"/>
      <c r="D18" s="708"/>
    </row>
  </sheetData>
  <mergeCells count="2">
    <mergeCell ref="B1:C1"/>
    <mergeCell ref="B6:C6"/>
  </mergeCells>
  <pageMargins left="0.7" right="0.7" top="0.75" bottom="0.75" header="0.3" footer="0.3"/>
  <pageSetup paperSize="9" orientation="portrait" horizontalDpi="150" verticalDpi="15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53"/>
  <sheetViews>
    <sheetView showGridLines="0" topLeftCell="A4" zoomScale="80" zoomScaleNormal="80" workbookViewId="0">
      <selection activeCell="E7" sqref="E7"/>
    </sheetView>
  </sheetViews>
  <sheetFormatPr defaultColWidth="8.88671875" defaultRowHeight="14.4" x14ac:dyDescent="0.3"/>
  <cols>
    <col min="1" max="1" width="7.88671875" style="61" customWidth="1"/>
    <col min="2" max="2" width="12.6640625" style="61" customWidth="1"/>
    <col min="3" max="3" width="14" style="61" customWidth="1"/>
    <col min="4" max="4" width="9.44140625" style="61" customWidth="1"/>
    <col min="5" max="5" width="11.88671875" style="61" customWidth="1"/>
    <col min="6" max="6" width="11.6640625" style="61" customWidth="1"/>
    <col min="7" max="7" width="9.6640625" customWidth="1"/>
    <col min="8" max="8" width="11.44140625" customWidth="1"/>
    <col min="9" max="9" width="10.88671875" customWidth="1"/>
    <col min="10" max="10" width="9.44140625" customWidth="1"/>
    <col min="11" max="11" width="12.6640625" customWidth="1"/>
    <col min="12" max="12" width="11.44140625" customWidth="1"/>
    <col min="13" max="13" width="10.44140625" customWidth="1"/>
    <col min="14" max="14" width="13.33203125" customWidth="1"/>
    <col min="15" max="15" width="11.33203125" customWidth="1"/>
    <col min="16" max="16" width="9.6640625" customWidth="1"/>
    <col min="17" max="17" width="14.6640625" customWidth="1"/>
    <col min="18" max="18" width="15.6640625" customWidth="1"/>
  </cols>
  <sheetData>
    <row r="2" spans="1:18" x14ac:dyDescent="0.3">
      <c r="A2" s="186" t="s">
        <v>117</v>
      </c>
      <c r="B2" s="187">
        <f>'CBA - Agendové IS'!J17</f>
        <v>1.6037335256630552</v>
      </c>
    </row>
    <row r="5" spans="1:18" ht="30" customHeight="1" x14ac:dyDescent="0.3">
      <c r="B5" s="1113" t="s">
        <v>186</v>
      </c>
      <c r="C5" s="1114"/>
      <c r="D5" s="194"/>
      <c r="E5" s="1113" t="s">
        <v>187</v>
      </c>
      <c r="F5" s="1114"/>
      <c r="H5" s="1111" t="s">
        <v>182</v>
      </c>
      <c r="I5" s="1112"/>
      <c r="J5" s="61"/>
      <c r="K5" s="1113" t="s">
        <v>185</v>
      </c>
      <c r="L5" s="1114"/>
      <c r="N5" s="1111" t="s">
        <v>183</v>
      </c>
      <c r="O5" s="1112"/>
      <c r="Q5" s="1111" t="s">
        <v>184</v>
      </c>
      <c r="R5" s="1112"/>
    </row>
    <row r="6" spans="1:18" x14ac:dyDescent="0.3">
      <c r="B6" s="189" t="s">
        <v>12</v>
      </c>
      <c r="C6" s="188" t="s">
        <v>117</v>
      </c>
      <c r="D6" s="195"/>
      <c r="E6" s="189" t="s">
        <v>12</v>
      </c>
      <c r="F6" s="188" t="s">
        <v>117</v>
      </c>
      <c r="H6" s="189" t="s">
        <v>12</v>
      </c>
      <c r="I6" s="188" t="s">
        <v>117</v>
      </c>
      <c r="J6" s="61"/>
      <c r="K6" s="189" t="s">
        <v>12</v>
      </c>
      <c r="L6" s="188" t="s">
        <v>117</v>
      </c>
      <c r="N6" s="190" t="s">
        <v>12</v>
      </c>
      <c r="O6" s="191" t="s">
        <v>117</v>
      </c>
      <c r="Q6" s="190" t="s">
        <v>12</v>
      </c>
      <c r="R6" s="191" t="s">
        <v>117</v>
      </c>
    </row>
    <row r="7" spans="1:18" ht="15" customHeight="1" x14ac:dyDescent="0.3">
      <c r="B7" s="182">
        <v>0</v>
      </c>
      <c r="C7" s="174">
        <f>B2</f>
        <v>1.6037335256630552</v>
      </c>
      <c r="D7" s="192"/>
      <c r="E7" s="182">
        <v>0</v>
      </c>
      <c r="F7" s="174">
        <f>B2</f>
        <v>1.6037335256630552</v>
      </c>
      <c r="H7" s="182">
        <v>0</v>
      </c>
      <c r="I7" s="174">
        <f>B2</f>
        <v>1.6037335256630552</v>
      </c>
      <c r="J7" s="61"/>
      <c r="K7" s="182">
        <v>0</v>
      </c>
      <c r="L7" s="174">
        <f>B2</f>
        <v>1.6037335256630552</v>
      </c>
      <c r="N7" s="184">
        <v>0</v>
      </c>
      <c r="O7" s="176">
        <f>B2</f>
        <v>1.6037335256630552</v>
      </c>
      <c r="Q7" s="184">
        <v>0</v>
      </c>
      <c r="R7" s="176">
        <f>B2</f>
        <v>1.6037335256630552</v>
      </c>
    </row>
    <row r="8" spans="1:18" x14ac:dyDescent="0.3">
      <c r="B8" s="182">
        <v>0.1</v>
      </c>
      <c r="C8" s="178">
        <f t="dataTable" ref="C8:C17" dt2D="0" dtr="0" r1="B7"/>
        <v>1.4551346574807971</v>
      </c>
      <c r="D8" s="193"/>
      <c r="E8" s="182">
        <v>0.1</v>
      </c>
      <c r="F8" s="178">
        <f t="dataTable" ref="F8:F17" dt2D="0" dtr="0" r1="E7" ca="1"/>
        <v>1.5053992219392116</v>
      </c>
      <c r="H8" s="182">
        <v>-0.1</v>
      </c>
      <c r="I8" s="178">
        <f t="dataTable" ref="I8:I17" dt2D="0" dtr="0" r1="H7" ca="1"/>
        <v>1.4193625307815949</v>
      </c>
      <c r="J8" s="61"/>
      <c r="K8" s="182">
        <v>-0.1</v>
      </c>
      <c r="L8" s="178">
        <f t="dataTable" ref="L8:L17" dt2D="0" dtr="0" r1="K7" ca="1"/>
        <v>1.5158546270369977</v>
      </c>
      <c r="N8" s="184">
        <v>-0.1</v>
      </c>
      <c r="O8" s="180">
        <f t="dataTable" ref="O8:O17" dt2D="0" dtr="0" r1="N7" ca="1"/>
        <v>1.807375132871228</v>
      </c>
      <c r="Q8" s="184">
        <v>-0.1</v>
      </c>
      <c r="R8" s="180">
        <f t="dataTable" ref="R8:R17" dt2D="0" dtr="0" r1="Q7" ca="1"/>
        <v>1.6037335256630552</v>
      </c>
    </row>
    <row r="9" spans="1:18" x14ac:dyDescent="0.3">
      <c r="A9" s="177"/>
      <c r="B9" s="182">
        <v>0.2</v>
      </c>
      <c r="C9" s="178">
        <v>1.3317383407124206</v>
      </c>
      <c r="D9" s="193"/>
      <c r="E9" s="182">
        <v>0.2</v>
      </c>
      <c r="F9" s="178">
        <v>1.4184271390645058</v>
      </c>
      <c r="H9" s="182">
        <v>-0.2</v>
      </c>
      <c r="I9" s="178">
        <v>1.2349915359001338</v>
      </c>
      <c r="J9" s="61"/>
      <c r="K9" s="182">
        <v>-0.2</v>
      </c>
      <c r="L9" s="178">
        <v>1.4279757284109398</v>
      </c>
      <c r="N9" s="184">
        <v>-0.2</v>
      </c>
      <c r="O9" s="180">
        <v>2.011016740079401</v>
      </c>
      <c r="Q9" s="184">
        <v>-0.2</v>
      </c>
      <c r="R9" s="180">
        <v>1.6037335256630552</v>
      </c>
    </row>
    <row r="10" spans="1:18" x14ac:dyDescent="0.3">
      <c r="A10" s="177"/>
      <c r="B10" s="182">
        <v>0.3</v>
      </c>
      <c r="C10" s="178">
        <v>1.2276342028627933</v>
      </c>
      <c r="D10" s="193"/>
      <c r="E10" s="182">
        <v>0.3</v>
      </c>
      <c r="F10" s="178">
        <v>1.3409555328395579</v>
      </c>
      <c r="H10" s="182">
        <v>-0.3</v>
      </c>
      <c r="I10" s="178">
        <v>1.0506205410186729</v>
      </c>
      <c r="J10" s="61"/>
      <c r="K10" s="182">
        <v>-0.3</v>
      </c>
      <c r="L10" s="178">
        <v>1.3400968297848825</v>
      </c>
      <c r="N10" s="184">
        <v>-0.3</v>
      </c>
      <c r="O10" s="180">
        <v>2.2146583472875743</v>
      </c>
      <c r="Q10" s="184">
        <v>-0.3</v>
      </c>
      <c r="R10" s="180">
        <v>1.6037335256630552</v>
      </c>
    </row>
    <row r="11" spans="1:18" x14ac:dyDescent="0.3">
      <c r="A11" s="177"/>
      <c r="B11" s="182">
        <v>0.4</v>
      </c>
      <c r="C11" s="178">
        <v>1.1386259709767059</v>
      </c>
      <c r="D11" s="193"/>
      <c r="E11" s="182">
        <v>0.4</v>
      </c>
      <c r="F11" s="178">
        <v>1.2715083330658794</v>
      </c>
      <c r="H11" s="182">
        <v>-0.4</v>
      </c>
      <c r="I11" s="178">
        <v>0.86624954613721228</v>
      </c>
      <c r="J11" s="61"/>
      <c r="K11" s="182">
        <v>-0.4</v>
      </c>
      <c r="L11" s="178">
        <v>1.2522179311588246</v>
      </c>
      <c r="N11" s="184">
        <v>-0.4</v>
      </c>
      <c r="O11" s="180">
        <v>2.4182999544957466</v>
      </c>
      <c r="Q11" s="184">
        <v>-0.4</v>
      </c>
      <c r="R11" s="180">
        <v>1.6037335256630552</v>
      </c>
    </row>
    <row r="12" spans="1:18" x14ac:dyDescent="0.3">
      <c r="A12" s="177"/>
      <c r="B12" s="182">
        <v>0.5</v>
      </c>
      <c r="C12" s="178">
        <v>1.0616520851429669</v>
      </c>
      <c r="D12" s="193"/>
      <c r="E12" s="182">
        <v>0.5</v>
      </c>
      <c r="F12" s="178">
        <v>1.2089001920161857</v>
      </c>
      <c r="H12" s="182">
        <v>-0.5</v>
      </c>
      <c r="I12" s="178">
        <v>0.68187855125575181</v>
      </c>
      <c r="J12" s="61"/>
      <c r="K12" s="182">
        <v>-0.5</v>
      </c>
      <c r="L12" s="178">
        <v>1.1643390325327676</v>
      </c>
      <c r="N12" s="184">
        <v>-0.5</v>
      </c>
      <c r="O12" s="180">
        <v>2.6219415617039195</v>
      </c>
      <c r="Q12" s="184">
        <v>-0.5</v>
      </c>
      <c r="R12" s="180">
        <v>1.6037335256630552</v>
      </c>
    </row>
    <row r="13" spans="1:18" x14ac:dyDescent="0.3">
      <c r="A13" s="177"/>
      <c r="B13" s="182">
        <v>0.6</v>
      </c>
      <c r="C13" s="178">
        <v>0.99442643852980828</v>
      </c>
      <c r="D13" s="193"/>
      <c r="E13" s="182">
        <v>0.6</v>
      </c>
      <c r="F13" s="178">
        <v>1.1521682685258277</v>
      </c>
      <c r="H13" s="182">
        <v>-0.6</v>
      </c>
      <c r="I13" s="178">
        <v>0.49750755637429095</v>
      </c>
      <c r="J13" s="61"/>
      <c r="K13" s="182">
        <v>-0.6</v>
      </c>
      <c r="L13" s="178">
        <v>1.0764601339067099</v>
      </c>
      <c r="N13" s="184">
        <v>-0.6</v>
      </c>
      <c r="O13" s="180">
        <v>2.8255831689120923</v>
      </c>
      <c r="Q13" s="184">
        <v>-0.6</v>
      </c>
      <c r="R13" s="180">
        <v>1.6037335256630552</v>
      </c>
    </row>
    <row r="14" spans="1:18" x14ac:dyDescent="0.3">
      <c r="A14" s="173"/>
      <c r="B14" s="182">
        <v>0.7</v>
      </c>
      <c r="C14" s="178">
        <v>0.93520748287250166</v>
      </c>
      <c r="D14" s="193"/>
      <c r="E14" s="182">
        <v>0.7</v>
      </c>
      <c r="F14" s="178">
        <v>1.1005223587411628</v>
      </c>
      <c r="H14" s="182">
        <v>-0.7</v>
      </c>
      <c r="I14" s="178">
        <v>0.31313656149283048</v>
      </c>
      <c r="J14" s="61"/>
      <c r="K14" s="182">
        <v>-0.7</v>
      </c>
      <c r="L14" s="178">
        <v>0.98858123528065245</v>
      </c>
      <c r="N14" s="184">
        <v>-0.7</v>
      </c>
      <c r="O14" s="180">
        <v>3.0292247761202651</v>
      </c>
      <c r="Q14" s="184">
        <v>-0.7</v>
      </c>
      <c r="R14" s="180">
        <v>1.6037335256630552</v>
      </c>
    </row>
    <row r="15" spans="1:18" x14ac:dyDescent="0.3">
      <c r="A15" s="173"/>
      <c r="B15" s="182">
        <v>0.8</v>
      </c>
      <c r="C15" s="178">
        <v>0.8826451969609922</v>
      </c>
      <c r="D15" s="193"/>
      <c r="E15" s="182">
        <v>0.8</v>
      </c>
      <c r="F15" s="178">
        <v>1.0533078637803857</v>
      </c>
      <c r="H15" s="182">
        <v>-0.8</v>
      </c>
      <c r="I15" s="178">
        <v>0.12876556661136948</v>
      </c>
      <c r="J15" s="61"/>
      <c r="K15" s="182">
        <v>-0.8</v>
      </c>
      <c r="L15" s="178">
        <v>0.90070233665459487</v>
      </c>
      <c r="N15" s="184">
        <v>-0.8</v>
      </c>
      <c r="O15" s="180">
        <v>3.2328663833284383</v>
      </c>
      <c r="Q15" s="184">
        <v>-0.8</v>
      </c>
      <c r="R15" s="180">
        <v>1.6037335256630552</v>
      </c>
    </row>
    <row r="16" spans="1:18" x14ac:dyDescent="0.3">
      <c r="A16" s="173"/>
      <c r="B16" s="182">
        <v>0.9</v>
      </c>
      <c r="C16" s="178">
        <v>0.83567691480937611</v>
      </c>
      <c r="D16" s="193"/>
      <c r="E16" s="182">
        <v>0.9</v>
      </c>
      <c r="F16" s="178">
        <v>1.0099778977988969</v>
      </c>
      <c r="H16" s="182">
        <v>-0.9</v>
      </c>
      <c r="I16" s="178">
        <v>-5.5605428270091302E-2</v>
      </c>
      <c r="J16" s="61"/>
      <c r="K16" s="182">
        <v>-0.9</v>
      </c>
      <c r="L16" s="178">
        <v>0.81282343802853774</v>
      </c>
      <c r="N16" s="184">
        <v>-0.9</v>
      </c>
      <c r="O16" s="180">
        <v>3.4365079905366112</v>
      </c>
      <c r="Q16" s="184">
        <v>-0.9</v>
      </c>
      <c r="R16" s="180">
        <v>1.6037335256630552</v>
      </c>
    </row>
    <row r="17" spans="1:18" x14ac:dyDescent="0.3">
      <c r="A17" s="173"/>
      <c r="B17" s="183">
        <v>1</v>
      </c>
      <c r="C17" s="179">
        <v>0.79345473322071547</v>
      </c>
      <c r="D17" s="193"/>
      <c r="E17" s="183">
        <v>1</v>
      </c>
      <c r="F17" s="179">
        <v>0.97007200839219621</v>
      </c>
      <c r="H17" s="183">
        <v>-1</v>
      </c>
      <c r="I17" s="179">
        <v>-0.23997642315155188</v>
      </c>
      <c r="J17" s="61"/>
      <c r="K17" s="183">
        <v>-1</v>
      </c>
      <c r="L17" s="179">
        <v>0.72494453940248005</v>
      </c>
      <c r="N17" s="185">
        <v>-1</v>
      </c>
      <c r="O17" s="181">
        <v>3.6401495977447844</v>
      </c>
      <c r="Q17" s="185">
        <v>-1</v>
      </c>
      <c r="R17" s="181">
        <v>1.6037335256630552</v>
      </c>
    </row>
    <row r="18" spans="1:18" x14ac:dyDescent="0.3">
      <c r="A18" s="177"/>
      <c r="N18" s="101"/>
    </row>
    <row r="19" spans="1:18" x14ac:dyDescent="0.3">
      <c r="A19" s="177"/>
    </row>
    <row r="25" spans="1:18" ht="18.75" customHeight="1" x14ac:dyDescent="0.3">
      <c r="D25" s="1105" t="s">
        <v>184</v>
      </c>
      <c r="E25" s="1106"/>
      <c r="F25" s="1106"/>
      <c r="G25" s="1106"/>
      <c r="H25" s="1106"/>
      <c r="I25" s="1106"/>
      <c r="J25" s="1106"/>
      <c r="K25" s="1106"/>
      <c r="L25" s="1106"/>
      <c r="M25" s="1106"/>
      <c r="N25" s="1107"/>
    </row>
    <row r="26" spans="1:18" x14ac:dyDescent="0.3">
      <c r="C26" s="196">
        <f>B2</f>
        <v>1.6037335256630552</v>
      </c>
      <c r="D26" s="202">
        <v>0</v>
      </c>
      <c r="E26" s="199">
        <v>-0.1</v>
      </c>
      <c r="F26" s="199">
        <v>-0.2</v>
      </c>
      <c r="G26" s="199">
        <v>-0.3</v>
      </c>
      <c r="H26" s="199">
        <v>-0.4</v>
      </c>
      <c r="I26" s="199">
        <v>-0.5</v>
      </c>
      <c r="J26" s="199">
        <v>-0.6</v>
      </c>
      <c r="K26" s="199">
        <v>-0.7</v>
      </c>
      <c r="L26" s="199">
        <v>-0.8</v>
      </c>
      <c r="M26" s="199">
        <v>-0.9</v>
      </c>
      <c r="N26" s="203">
        <v>-1</v>
      </c>
    </row>
    <row r="27" spans="1:18" ht="14.25" customHeight="1" x14ac:dyDescent="0.3">
      <c r="B27" s="1108" t="s">
        <v>183</v>
      </c>
      <c r="C27" s="204">
        <v>0</v>
      </c>
      <c r="D27" s="193">
        <f t="dataTable" ref="D27:N37" dt2D="1" dtr="1" r1="Q7" r2="N7" ca="1"/>
        <v>1.6037335256630552</v>
      </c>
      <c r="E27" s="193">
        <v>1.6037335256630552</v>
      </c>
      <c r="F27" s="193">
        <v>1.6037335256630552</v>
      </c>
      <c r="G27" s="198">
        <v>1.6037335256630552</v>
      </c>
      <c r="H27" s="198">
        <v>1.6037335256630552</v>
      </c>
      <c r="I27" s="198">
        <v>1.6037335256630552</v>
      </c>
      <c r="J27" s="198">
        <v>1.6037335256630552</v>
      </c>
      <c r="K27" s="198">
        <v>1.6037335256630552</v>
      </c>
      <c r="L27" s="198">
        <v>1.6037335256630552</v>
      </c>
      <c r="M27" s="198">
        <v>1.6037335256630552</v>
      </c>
      <c r="N27" s="180">
        <v>1.6037335256630552</v>
      </c>
    </row>
    <row r="28" spans="1:18" x14ac:dyDescent="0.3">
      <c r="B28" s="1109"/>
      <c r="C28" s="197">
        <v>-0.1</v>
      </c>
      <c r="D28" s="193">
        <v>1.807375132871228</v>
      </c>
      <c r="E28" s="193">
        <v>1.807375132871228</v>
      </c>
      <c r="F28" s="193">
        <v>1.807375132871228</v>
      </c>
      <c r="G28" s="198">
        <v>1.807375132871228</v>
      </c>
      <c r="H28" s="198">
        <v>1.807375132871228</v>
      </c>
      <c r="I28" s="198">
        <v>1.807375132871228</v>
      </c>
      <c r="J28" s="198">
        <v>1.807375132871228</v>
      </c>
      <c r="K28" s="198">
        <v>1.807375132871228</v>
      </c>
      <c r="L28" s="198">
        <v>1.807375132871228</v>
      </c>
      <c r="M28" s="198">
        <v>1.807375132871228</v>
      </c>
      <c r="N28" s="180">
        <v>1.807375132871228</v>
      </c>
    </row>
    <row r="29" spans="1:18" x14ac:dyDescent="0.3">
      <c r="B29" s="1109"/>
      <c r="C29" s="197">
        <v>-0.2</v>
      </c>
      <c r="D29" s="193">
        <v>2.011016740079401</v>
      </c>
      <c r="E29" s="193">
        <v>2.011016740079401</v>
      </c>
      <c r="F29" s="193">
        <v>2.011016740079401</v>
      </c>
      <c r="G29" s="198">
        <v>2.011016740079401</v>
      </c>
      <c r="H29" s="198">
        <v>2.011016740079401</v>
      </c>
      <c r="I29" s="198">
        <v>2.011016740079401</v>
      </c>
      <c r="J29" s="198">
        <v>2.011016740079401</v>
      </c>
      <c r="K29" s="198">
        <v>2.011016740079401</v>
      </c>
      <c r="L29" s="198">
        <v>2.011016740079401</v>
      </c>
      <c r="M29" s="198">
        <v>2.011016740079401</v>
      </c>
      <c r="N29" s="180">
        <v>2.011016740079401</v>
      </c>
    </row>
    <row r="30" spans="1:18" x14ac:dyDescent="0.3">
      <c r="B30" s="1109"/>
      <c r="C30" s="197">
        <v>-0.3</v>
      </c>
      <c r="D30" s="193">
        <v>2.2146583472875743</v>
      </c>
      <c r="E30" s="193">
        <v>2.2146583472875743</v>
      </c>
      <c r="F30" s="193">
        <v>2.2146583472875743</v>
      </c>
      <c r="G30" s="198">
        <v>2.2146583472875743</v>
      </c>
      <c r="H30" s="198">
        <v>2.2146583472875743</v>
      </c>
      <c r="I30" s="198">
        <v>2.2146583472875743</v>
      </c>
      <c r="J30" s="198">
        <v>2.2146583472875743</v>
      </c>
      <c r="K30" s="198">
        <v>2.2146583472875743</v>
      </c>
      <c r="L30" s="198">
        <v>2.2146583472875743</v>
      </c>
      <c r="M30" s="198">
        <v>2.2146583472875743</v>
      </c>
      <c r="N30" s="180">
        <v>2.2146583472875743</v>
      </c>
    </row>
    <row r="31" spans="1:18" x14ac:dyDescent="0.3">
      <c r="B31" s="1109"/>
      <c r="C31" s="197">
        <v>-0.4</v>
      </c>
      <c r="D31" s="193">
        <v>2.4182999544957466</v>
      </c>
      <c r="E31" s="193">
        <v>2.4182999544957466</v>
      </c>
      <c r="F31" s="193">
        <v>2.4182999544957466</v>
      </c>
      <c r="G31" s="198">
        <v>2.4182999544957466</v>
      </c>
      <c r="H31" s="198">
        <v>2.4182999544957466</v>
      </c>
      <c r="I31" s="198">
        <v>2.4182999544957466</v>
      </c>
      <c r="J31" s="198">
        <v>2.4182999544957466</v>
      </c>
      <c r="K31" s="198">
        <v>2.4182999544957466</v>
      </c>
      <c r="L31" s="198">
        <v>2.4182999544957466</v>
      </c>
      <c r="M31" s="198">
        <v>2.4182999544957466</v>
      </c>
      <c r="N31" s="180">
        <v>2.4182999544957466</v>
      </c>
    </row>
    <row r="32" spans="1:18" x14ac:dyDescent="0.3">
      <c r="B32" s="1109"/>
      <c r="C32" s="197">
        <v>-0.5</v>
      </c>
      <c r="D32" s="193">
        <v>2.6219415617039195</v>
      </c>
      <c r="E32" s="193">
        <v>2.6219415617039195</v>
      </c>
      <c r="F32" s="193">
        <v>2.6219415617039195</v>
      </c>
      <c r="G32" s="198">
        <v>2.6219415617039195</v>
      </c>
      <c r="H32" s="198">
        <v>2.6219415617039195</v>
      </c>
      <c r="I32" s="198">
        <v>2.6219415617039195</v>
      </c>
      <c r="J32" s="198">
        <v>2.6219415617039195</v>
      </c>
      <c r="K32" s="198">
        <v>2.6219415617039195</v>
      </c>
      <c r="L32" s="198">
        <v>2.6219415617039195</v>
      </c>
      <c r="M32" s="198">
        <v>2.6219415617039195</v>
      </c>
      <c r="N32" s="180">
        <v>2.6219415617039195</v>
      </c>
    </row>
    <row r="33" spans="2:14" x14ac:dyDescent="0.3">
      <c r="B33" s="1109"/>
      <c r="C33" s="197">
        <v>-0.6</v>
      </c>
      <c r="D33" s="193">
        <v>2.8255831689120923</v>
      </c>
      <c r="E33" s="193">
        <v>2.8255831689120923</v>
      </c>
      <c r="F33" s="193">
        <v>2.8255831689120923</v>
      </c>
      <c r="G33" s="198">
        <v>2.8255831689120923</v>
      </c>
      <c r="H33" s="198">
        <v>2.8255831689120923</v>
      </c>
      <c r="I33" s="198">
        <v>2.8255831689120923</v>
      </c>
      <c r="J33" s="198">
        <v>2.8255831689120923</v>
      </c>
      <c r="K33" s="198">
        <v>2.8255831689120923</v>
      </c>
      <c r="L33" s="198">
        <v>2.8255831689120923</v>
      </c>
      <c r="M33" s="198">
        <v>2.8255831689120923</v>
      </c>
      <c r="N33" s="180">
        <v>2.8255831689120923</v>
      </c>
    </row>
    <row r="34" spans="2:14" x14ac:dyDescent="0.3">
      <c r="B34" s="1109"/>
      <c r="C34" s="197">
        <v>-0.7</v>
      </c>
      <c r="D34" s="193">
        <v>3.0292247761202651</v>
      </c>
      <c r="E34" s="193">
        <v>3.0292247761202651</v>
      </c>
      <c r="F34" s="193">
        <v>3.0292247761202651</v>
      </c>
      <c r="G34" s="198">
        <v>3.0292247761202651</v>
      </c>
      <c r="H34" s="198">
        <v>3.0292247761202651</v>
      </c>
      <c r="I34" s="198">
        <v>3.0292247761202651</v>
      </c>
      <c r="J34" s="198">
        <v>3.0292247761202651</v>
      </c>
      <c r="K34" s="198">
        <v>3.0292247761202651</v>
      </c>
      <c r="L34" s="198">
        <v>3.0292247761202651</v>
      </c>
      <c r="M34" s="198">
        <v>3.0292247761202651</v>
      </c>
      <c r="N34" s="180">
        <v>3.0292247761202651</v>
      </c>
    </row>
    <row r="35" spans="2:14" x14ac:dyDescent="0.3">
      <c r="B35" s="1109"/>
      <c r="C35" s="197">
        <v>-0.8</v>
      </c>
      <c r="D35" s="193">
        <v>3.2328663833284383</v>
      </c>
      <c r="E35" s="193">
        <v>3.2328663833284383</v>
      </c>
      <c r="F35" s="193">
        <v>3.2328663833284383</v>
      </c>
      <c r="G35" s="198">
        <v>3.2328663833284383</v>
      </c>
      <c r="H35" s="198">
        <v>3.2328663833284383</v>
      </c>
      <c r="I35" s="198">
        <v>3.2328663833284383</v>
      </c>
      <c r="J35" s="198">
        <v>3.2328663833284383</v>
      </c>
      <c r="K35" s="198">
        <v>3.2328663833284383</v>
      </c>
      <c r="L35" s="198">
        <v>3.2328663833284383</v>
      </c>
      <c r="M35" s="198">
        <v>3.2328663833284383</v>
      </c>
      <c r="N35" s="180">
        <v>3.2328663833284383</v>
      </c>
    </row>
    <row r="36" spans="2:14" x14ac:dyDescent="0.3">
      <c r="B36" s="1109"/>
      <c r="C36" s="197">
        <v>-0.9</v>
      </c>
      <c r="D36" s="193">
        <v>3.4365079905366112</v>
      </c>
      <c r="E36" s="193">
        <v>3.4365079905366112</v>
      </c>
      <c r="F36" s="193">
        <v>3.4365079905366112</v>
      </c>
      <c r="G36" s="198">
        <v>3.4365079905366112</v>
      </c>
      <c r="H36" s="198">
        <v>3.4365079905366112</v>
      </c>
      <c r="I36" s="198">
        <v>3.4365079905366112</v>
      </c>
      <c r="J36" s="198">
        <v>3.4365079905366112</v>
      </c>
      <c r="K36" s="198">
        <v>3.4365079905366112</v>
      </c>
      <c r="L36" s="198">
        <v>3.4365079905366112</v>
      </c>
      <c r="M36" s="198">
        <v>3.4365079905366112</v>
      </c>
      <c r="N36" s="180">
        <v>3.4365079905366112</v>
      </c>
    </row>
    <row r="37" spans="2:14" x14ac:dyDescent="0.3">
      <c r="B37" s="1110"/>
      <c r="C37" s="203">
        <v>-1</v>
      </c>
      <c r="D37" s="200">
        <v>3.6401495977447844</v>
      </c>
      <c r="E37" s="200">
        <v>3.6401495977447844</v>
      </c>
      <c r="F37" s="200">
        <v>3.6401495977447844</v>
      </c>
      <c r="G37" s="201">
        <v>3.6401495977447844</v>
      </c>
      <c r="H37" s="201">
        <v>3.6401495977447844</v>
      </c>
      <c r="I37" s="201">
        <v>3.6401495977447844</v>
      </c>
      <c r="J37" s="201">
        <v>3.6401495977447844</v>
      </c>
      <c r="K37" s="201">
        <v>3.6401495977447844</v>
      </c>
      <c r="L37" s="201">
        <v>3.6401495977447844</v>
      </c>
      <c r="M37" s="201">
        <v>3.6401495977447844</v>
      </c>
      <c r="N37" s="181">
        <v>3.6401495977447844</v>
      </c>
    </row>
    <row r="41" spans="2:14" x14ac:dyDescent="0.3">
      <c r="D41" s="1105" t="s">
        <v>185</v>
      </c>
      <c r="E41" s="1106"/>
      <c r="F41" s="1106"/>
      <c r="G41" s="1106"/>
      <c r="H41" s="1106"/>
      <c r="I41" s="1106"/>
      <c r="J41" s="1106"/>
      <c r="K41" s="1106"/>
      <c r="L41" s="1106"/>
      <c r="M41" s="1106"/>
      <c r="N41" s="1107"/>
    </row>
    <row r="42" spans="2:14" x14ac:dyDescent="0.3">
      <c r="C42" s="196">
        <f>B2</f>
        <v>1.6037335256630552</v>
      </c>
      <c r="D42" s="202">
        <v>0</v>
      </c>
      <c r="E42" s="199">
        <v>-0.1</v>
      </c>
      <c r="F42" s="199">
        <v>-0.2</v>
      </c>
      <c r="G42" s="199">
        <v>-0.3</v>
      </c>
      <c r="H42" s="199">
        <v>-0.4</v>
      </c>
      <c r="I42" s="199">
        <v>-0.5</v>
      </c>
      <c r="J42" s="199">
        <v>-0.6</v>
      </c>
      <c r="K42" s="199">
        <v>-0.7</v>
      </c>
      <c r="L42" s="199">
        <v>-0.8</v>
      </c>
      <c r="M42" s="199">
        <v>-0.9</v>
      </c>
      <c r="N42" s="203">
        <v>-1</v>
      </c>
    </row>
    <row r="43" spans="2:14" x14ac:dyDescent="0.3">
      <c r="B43" s="1108" t="s">
        <v>187</v>
      </c>
      <c r="C43" s="204">
        <v>0</v>
      </c>
      <c r="D43" s="193">
        <f t="dataTable" ref="D43:N53" dt2D="1" dtr="1" r1="K7" r2="E7" ca="1"/>
        <v>1.6037335256630552</v>
      </c>
      <c r="E43" s="193">
        <v>1.5158546270369977</v>
      </c>
      <c r="F43" s="193">
        <v>1.4279757284109398</v>
      </c>
      <c r="G43" s="198">
        <v>1.3400968297848825</v>
      </c>
      <c r="H43" s="198">
        <v>1.2522179311588246</v>
      </c>
      <c r="I43" s="198">
        <v>1.1643390325327676</v>
      </c>
      <c r="J43" s="198">
        <v>1.0764601339067099</v>
      </c>
      <c r="K43" s="198">
        <v>0.98858123528065245</v>
      </c>
      <c r="L43" s="198">
        <v>0.90070233665459487</v>
      </c>
      <c r="M43" s="198">
        <v>0.81282343802853774</v>
      </c>
      <c r="N43" s="180">
        <v>0.72494453940248005</v>
      </c>
    </row>
    <row r="44" spans="2:14" x14ac:dyDescent="0.3">
      <c r="B44" s="1109"/>
      <c r="C44" s="197">
        <v>0.1</v>
      </c>
      <c r="D44" s="193">
        <v>1.5053992219392116</v>
      </c>
      <c r="E44" s="193">
        <v>1.4229086937438582</v>
      </c>
      <c r="F44" s="193">
        <v>1.3404181655485043</v>
      </c>
      <c r="G44" s="198">
        <v>1.2579276373531512</v>
      </c>
      <c r="H44" s="198">
        <v>1.1754371091577973</v>
      </c>
      <c r="I44" s="198">
        <v>1.0929465809624443</v>
      </c>
      <c r="J44" s="198">
        <v>1.0104560527670907</v>
      </c>
      <c r="K44" s="198">
        <v>0.92796552457173742</v>
      </c>
      <c r="L44" s="198">
        <v>0.8454749963763839</v>
      </c>
      <c r="M44" s="198">
        <v>0.76298446818103083</v>
      </c>
      <c r="N44" s="180">
        <v>0.6804939399856772</v>
      </c>
    </row>
    <row r="45" spans="2:14" x14ac:dyDescent="0.3">
      <c r="B45" s="1109"/>
      <c r="C45" s="197">
        <v>0.2</v>
      </c>
      <c r="D45" s="193">
        <v>1.4184271390645058</v>
      </c>
      <c r="E45" s="193">
        <v>1.3407023719709434</v>
      </c>
      <c r="F45" s="193">
        <v>1.2629776048773806</v>
      </c>
      <c r="G45" s="198">
        <v>1.1852528377838187</v>
      </c>
      <c r="H45" s="198">
        <v>1.1075280706902559</v>
      </c>
      <c r="I45" s="198">
        <v>1.0298033035966943</v>
      </c>
      <c r="J45" s="198">
        <v>0.95207853650313168</v>
      </c>
      <c r="K45" s="198">
        <v>0.87435376940956944</v>
      </c>
      <c r="L45" s="198">
        <v>0.7966290023160072</v>
      </c>
      <c r="M45" s="198">
        <v>0.71890423522244518</v>
      </c>
      <c r="N45" s="180">
        <v>0.64117946812888271</v>
      </c>
    </row>
    <row r="46" spans="2:14" x14ac:dyDescent="0.3">
      <c r="B46" s="1109"/>
      <c r="C46" s="197">
        <v>0.3</v>
      </c>
      <c r="D46" s="193">
        <v>1.3409555328395579</v>
      </c>
      <c r="E46" s="193">
        <v>1.2674759344856246</v>
      </c>
      <c r="F46" s="193">
        <v>1.1939963361316912</v>
      </c>
      <c r="G46" s="198">
        <v>1.1205167377777583</v>
      </c>
      <c r="H46" s="198">
        <v>1.0470371394238247</v>
      </c>
      <c r="I46" s="198">
        <v>0.97355754106989201</v>
      </c>
      <c r="J46" s="198">
        <v>0.90007794271595865</v>
      </c>
      <c r="K46" s="198">
        <v>0.82659834436202562</v>
      </c>
      <c r="L46" s="198">
        <v>0.75311874600809248</v>
      </c>
      <c r="M46" s="198">
        <v>0.67963914765415956</v>
      </c>
      <c r="N46" s="180">
        <v>0.60615954930022631</v>
      </c>
    </row>
    <row r="47" spans="2:14" x14ac:dyDescent="0.3">
      <c r="B47" s="1109"/>
      <c r="C47" s="197">
        <v>0.4</v>
      </c>
      <c r="D47" s="193">
        <v>1.2715083330658794</v>
      </c>
      <c r="E47" s="193">
        <v>1.2018341944913391</v>
      </c>
      <c r="F47" s="193">
        <v>1.1321600559167984</v>
      </c>
      <c r="G47" s="198">
        <v>1.0624859173422583</v>
      </c>
      <c r="H47" s="198">
        <v>0.99281177876771776</v>
      </c>
      <c r="I47" s="198">
        <v>0.9231376401931779</v>
      </c>
      <c r="J47" s="198">
        <v>0.85346350161863738</v>
      </c>
      <c r="K47" s="198">
        <v>0.78378936304409719</v>
      </c>
      <c r="L47" s="198">
        <v>0.71411522446955689</v>
      </c>
      <c r="M47" s="198">
        <v>0.64444108589501681</v>
      </c>
      <c r="N47" s="180">
        <v>0.5747669473204764</v>
      </c>
    </row>
    <row r="48" spans="2:14" x14ac:dyDescent="0.3">
      <c r="B48" s="1109"/>
      <c r="C48" s="197">
        <v>0.5</v>
      </c>
      <c r="D48" s="193">
        <v>1.2089001920161857</v>
      </c>
      <c r="E48" s="193">
        <v>1.1426567571043358</v>
      </c>
      <c r="F48" s="193">
        <v>1.0764133221924859</v>
      </c>
      <c r="G48" s="198">
        <v>1.0101698872806364</v>
      </c>
      <c r="H48" s="198">
        <v>0.94392645236878636</v>
      </c>
      <c r="I48" s="198">
        <v>0.87768301745693711</v>
      </c>
      <c r="J48" s="198">
        <v>0.81143958254508719</v>
      </c>
      <c r="K48" s="198">
        <v>0.7451961476332376</v>
      </c>
      <c r="L48" s="198">
        <v>0.67895271272138791</v>
      </c>
      <c r="M48" s="198">
        <v>0.61270927780953843</v>
      </c>
      <c r="N48" s="180">
        <v>0.54646584289768863</v>
      </c>
    </row>
    <row r="49" spans="2:14" x14ac:dyDescent="0.3">
      <c r="B49" s="1109"/>
      <c r="C49" s="197">
        <v>0.6</v>
      </c>
      <c r="D49" s="193">
        <v>1.1521682685258277</v>
      </c>
      <c r="E49" s="193">
        <v>1.0890335414345051</v>
      </c>
      <c r="F49" s="193">
        <v>1.0258988143431824</v>
      </c>
      <c r="G49" s="198">
        <v>0.96276408725186013</v>
      </c>
      <c r="H49" s="198">
        <v>0.89962936016053729</v>
      </c>
      <c r="I49" s="198">
        <v>0.83649463306921523</v>
      </c>
      <c r="J49" s="198">
        <v>0.7733599059778925</v>
      </c>
      <c r="K49" s="198">
        <v>0.71022517888657011</v>
      </c>
      <c r="L49" s="198">
        <v>0.6470904517952476</v>
      </c>
      <c r="M49" s="198">
        <v>0.58395572470392532</v>
      </c>
      <c r="N49" s="180">
        <v>0.52082099761260281</v>
      </c>
    </row>
    <row r="50" spans="2:14" x14ac:dyDescent="0.3">
      <c r="B50" s="1109"/>
      <c r="C50" s="197">
        <v>0.7</v>
      </c>
      <c r="D50" s="193">
        <v>1.1005223587411628</v>
      </c>
      <c r="E50" s="193">
        <v>1.0402176439915356</v>
      </c>
      <c r="F50" s="193">
        <v>0.97991292924190831</v>
      </c>
      <c r="G50" s="198">
        <v>0.91960821449228136</v>
      </c>
      <c r="H50" s="198">
        <v>0.85930349974265396</v>
      </c>
      <c r="I50" s="198">
        <v>0.79899878499302723</v>
      </c>
      <c r="J50" s="198">
        <v>0.73869407024339995</v>
      </c>
      <c r="K50" s="198">
        <v>0.67838935549377288</v>
      </c>
      <c r="L50" s="198">
        <v>0.61808464074414571</v>
      </c>
      <c r="M50" s="198">
        <v>0.55777992599451887</v>
      </c>
      <c r="N50" s="180">
        <v>0.49747521124489164</v>
      </c>
    </row>
    <row r="51" spans="2:14" x14ac:dyDescent="0.3">
      <c r="B51" s="1109"/>
      <c r="C51" s="197">
        <v>0.8</v>
      </c>
      <c r="D51" s="193">
        <v>1.0533078637803857</v>
      </c>
      <c r="E51" s="193">
        <v>0.9955903355863448</v>
      </c>
      <c r="F51" s="193">
        <v>0.93787280739230383</v>
      </c>
      <c r="G51" s="198">
        <v>0.88015527919826331</v>
      </c>
      <c r="H51" s="198">
        <v>0.82243775100422234</v>
      </c>
      <c r="I51" s="198">
        <v>0.76472022281018193</v>
      </c>
      <c r="J51" s="198">
        <v>0.70700269461614107</v>
      </c>
      <c r="K51" s="198">
        <v>0.64928516642210055</v>
      </c>
      <c r="L51" s="198">
        <v>0.5915676382280598</v>
      </c>
      <c r="M51" s="198">
        <v>0.53385011003401928</v>
      </c>
      <c r="N51" s="180">
        <v>0.47613258183997842</v>
      </c>
    </row>
    <row r="52" spans="2:14" x14ac:dyDescent="0.3">
      <c r="B52" s="1109"/>
      <c r="C52" s="197">
        <v>0.9</v>
      </c>
      <c r="D52" s="193">
        <v>1.0099778977988969</v>
      </c>
      <c r="E52" s="193">
        <v>0.95463469777535659</v>
      </c>
      <c r="F52" s="193">
        <v>0.89929149775181605</v>
      </c>
      <c r="G52" s="198">
        <v>0.84394829772827595</v>
      </c>
      <c r="H52" s="198">
        <v>0.78860509770473541</v>
      </c>
      <c r="I52" s="198">
        <v>0.73326189768119543</v>
      </c>
      <c r="J52" s="198">
        <v>0.677918697657655</v>
      </c>
      <c r="K52" s="198">
        <v>0.62257549763411479</v>
      </c>
      <c r="L52" s="198">
        <v>0.56723229761057448</v>
      </c>
      <c r="M52" s="198">
        <v>0.51188909758703438</v>
      </c>
      <c r="N52" s="180">
        <v>0.45654589756349406</v>
      </c>
    </row>
    <row r="53" spans="2:14" x14ac:dyDescent="0.3">
      <c r="B53" s="1110"/>
      <c r="C53" s="203">
        <v>1</v>
      </c>
      <c r="D53" s="200">
        <v>0.97007200839219621</v>
      </c>
      <c r="E53" s="200">
        <v>0.91691550930970178</v>
      </c>
      <c r="F53" s="200">
        <v>0.86375901022720702</v>
      </c>
      <c r="G53" s="201">
        <v>0.81060251114471271</v>
      </c>
      <c r="H53" s="201">
        <v>0.75744601206221795</v>
      </c>
      <c r="I53" s="201">
        <v>0.70428951297972386</v>
      </c>
      <c r="J53" s="201">
        <v>0.65113301389722922</v>
      </c>
      <c r="K53" s="201">
        <v>0.59797651481473479</v>
      </c>
      <c r="L53" s="201">
        <v>0.54482001573224026</v>
      </c>
      <c r="M53" s="201">
        <v>0.491663516649746</v>
      </c>
      <c r="N53" s="181">
        <v>0.43850701756725147</v>
      </c>
    </row>
  </sheetData>
  <sheetProtection algorithmName="SHA-512" hashValue="dqd+ettbIsAQzamG7hohEAWj7LYgqtK4GHeDrc5QXa4Nl9dV9iy4G95/67sKKPulFay1zzDhIR6amoURKm9xxg==" saltValue="Jdn/cjq3bnIHWs2UgDdX4Q==" spinCount="100000" sheet="1" objects="1" scenarios="1"/>
  <mergeCells count="10">
    <mergeCell ref="D25:N25"/>
    <mergeCell ref="B27:B37"/>
    <mergeCell ref="D41:N41"/>
    <mergeCell ref="B43:B53"/>
    <mergeCell ref="Q5:R5"/>
    <mergeCell ref="N5:O5"/>
    <mergeCell ref="K5:L5"/>
    <mergeCell ref="B5:C5"/>
    <mergeCell ref="H5:I5"/>
    <mergeCell ref="E5:F5"/>
  </mergeCells>
  <conditionalFormatting sqref="D27:N37">
    <cfRule type="colorScale" priority="2">
      <colorScale>
        <cfvo type="min"/>
        <cfvo type="num" val="1"/>
        <cfvo type="max"/>
        <color rgb="FFF8696B"/>
        <color rgb="FFFFEB84"/>
        <color rgb="FF63BE7B"/>
      </colorScale>
    </cfRule>
  </conditionalFormatting>
  <conditionalFormatting sqref="D43:N53">
    <cfRule type="colorScale" priority="1">
      <colorScale>
        <cfvo type="min"/>
        <cfvo type="num" val="1"/>
        <cfvo type="max"/>
        <color rgb="FFF8696B"/>
        <color rgb="FFFFEB84"/>
        <color rgb="FF63BE7B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V38"/>
  <sheetViews>
    <sheetView showGridLines="0" zoomScale="60" zoomScaleNormal="60" workbookViewId="0">
      <pane ySplit="3" topLeftCell="A4" activePane="bottomLeft" state="frozen"/>
      <selection pane="bottomLeft" activeCell="V4" sqref="V4"/>
    </sheetView>
  </sheetViews>
  <sheetFormatPr defaultColWidth="8.88671875" defaultRowHeight="14.4" x14ac:dyDescent="0.3"/>
  <cols>
    <col min="1" max="1" width="9.44140625" customWidth="1"/>
    <col min="2" max="3" width="14.33203125" bestFit="1" customWidth="1"/>
    <col min="4" max="4" width="13.44140625" customWidth="1"/>
    <col min="5" max="5" width="11.109375" customWidth="1"/>
    <col min="6" max="6" width="12" customWidth="1"/>
    <col min="8" max="8" width="12" customWidth="1"/>
    <col min="9" max="9" width="14" customWidth="1"/>
    <col min="10" max="10" width="14.88671875" customWidth="1"/>
    <col min="11" max="11" width="13.44140625" customWidth="1"/>
    <col min="12" max="12" width="13.44140625" bestFit="1" customWidth="1"/>
    <col min="13" max="13" width="13.88671875" customWidth="1"/>
    <col min="14" max="15" width="15.109375" customWidth="1"/>
    <col min="16" max="16" width="13.88671875" customWidth="1"/>
    <col min="17" max="17" width="14.6640625" customWidth="1"/>
    <col min="18" max="18" width="14" customWidth="1"/>
    <col min="19" max="19" width="14.44140625" customWidth="1"/>
    <col min="20" max="20" width="14.33203125" bestFit="1" customWidth="1"/>
    <col min="21" max="21" width="14.6640625" customWidth="1"/>
    <col min="22" max="22" width="15.44140625" customWidth="1"/>
  </cols>
  <sheetData>
    <row r="1" spans="1:22" ht="15.75" customHeight="1" thickBot="1" x14ac:dyDescent="0.35">
      <c r="A1" s="18"/>
      <c r="B1" s="1093" t="s">
        <v>44</v>
      </c>
      <c r="C1" s="1094"/>
      <c r="D1" s="1095"/>
      <c r="E1" s="1093" t="s">
        <v>45</v>
      </c>
      <c r="F1" s="1094"/>
      <c r="G1" s="1094"/>
      <c r="H1" s="1094"/>
      <c r="I1" s="1094"/>
      <c r="J1" s="1094"/>
      <c r="K1" s="1094"/>
      <c r="L1" s="1094"/>
      <c r="M1" s="1094"/>
      <c r="N1" s="1094"/>
      <c r="O1" s="1094"/>
      <c r="P1" s="1094"/>
      <c r="Q1" s="1096" t="s">
        <v>46</v>
      </c>
      <c r="R1" s="1097"/>
      <c r="S1" s="1097"/>
      <c r="T1" s="1097"/>
      <c r="U1" s="1097"/>
      <c r="V1" s="1098"/>
    </row>
    <row r="2" spans="1:22" ht="24" customHeight="1" x14ac:dyDescent="0.3">
      <c r="A2" s="8"/>
      <c r="B2" s="1096" t="s">
        <v>47</v>
      </c>
      <c r="C2" s="1097"/>
      <c r="D2" s="1098"/>
      <c r="E2" s="1115" t="s">
        <v>48</v>
      </c>
      <c r="F2" s="1116"/>
      <c r="G2" s="1117"/>
      <c r="H2" s="1118" t="s">
        <v>49</v>
      </c>
      <c r="I2" s="1116"/>
      <c r="J2" s="1117"/>
      <c r="K2" s="1118" t="s">
        <v>50</v>
      </c>
      <c r="L2" s="1116"/>
      <c r="M2" s="1117"/>
      <c r="N2" s="1118" t="s">
        <v>178</v>
      </c>
      <c r="O2" s="1116"/>
      <c r="P2" s="1119"/>
      <c r="Q2" s="1097" t="s">
        <v>17</v>
      </c>
      <c r="R2" s="1097"/>
      <c r="S2" s="1098"/>
      <c r="T2" s="1097" t="s">
        <v>18</v>
      </c>
      <c r="U2" s="1097"/>
      <c r="V2" s="1098"/>
    </row>
    <row r="3" spans="1:22" ht="18.600000000000001" customHeight="1" thickBot="1" x14ac:dyDescent="0.35">
      <c r="A3" s="19" t="s">
        <v>23</v>
      </c>
      <c r="B3" s="23" t="s">
        <v>210</v>
      </c>
      <c r="C3" s="20" t="s">
        <v>156</v>
      </c>
      <c r="D3" s="24" t="s">
        <v>24</v>
      </c>
      <c r="E3" s="14" t="s">
        <v>210</v>
      </c>
      <c r="F3" s="15" t="s">
        <v>156</v>
      </c>
      <c r="G3" s="22" t="s">
        <v>24</v>
      </c>
      <c r="H3" s="21" t="s">
        <v>210</v>
      </c>
      <c r="I3" s="15" t="s">
        <v>156</v>
      </c>
      <c r="J3" s="22" t="s">
        <v>24</v>
      </c>
      <c r="K3" s="21" t="s">
        <v>210</v>
      </c>
      <c r="L3" s="15" t="s">
        <v>156</v>
      </c>
      <c r="M3" s="22" t="s">
        <v>24</v>
      </c>
      <c r="N3" s="21" t="s">
        <v>210</v>
      </c>
      <c r="O3" s="15" t="s">
        <v>156</v>
      </c>
      <c r="P3" s="16" t="s">
        <v>24</v>
      </c>
      <c r="Q3" s="15" t="s">
        <v>210</v>
      </c>
      <c r="R3" s="15" t="s">
        <v>156</v>
      </c>
      <c r="S3" s="16" t="s">
        <v>24</v>
      </c>
      <c r="T3" s="15" t="s">
        <v>210</v>
      </c>
      <c r="U3" s="15" t="s">
        <v>156</v>
      </c>
      <c r="V3" s="16" t="s">
        <v>24</v>
      </c>
    </row>
    <row r="4" spans="1:22" x14ac:dyDescent="0.3">
      <c r="A4" s="32" t="s">
        <v>25</v>
      </c>
      <c r="B4" s="27">
        <f>'Parametre - Agendové IS'!D137</f>
        <v>0</v>
      </c>
      <c r="C4" s="27">
        <f>'Parametre - Agendové IS'!E137</f>
        <v>0</v>
      </c>
      <c r="D4" s="29">
        <f>IF(ISERR(C4-B4),"-",C4-B4)</f>
        <v>0</v>
      </c>
      <c r="E4" s="619">
        <v>0</v>
      </c>
      <c r="F4" s="620">
        <v>0</v>
      </c>
      <c r="G4" s="34">
        <f t="shared" ref="G4:G13" si="0">IF(ISERR(F4-E4),"-",F4-E4)</f>
        <v>0</v>
      </c>
      <c r="H4" s="30">
        <v>0</v>
      </c>
      <c r="I4" s="26">
        <f>'Parametre - Agendové IS'!E117</f>
        <v>0</v>
      </c>
      <c r="J4" s="34">
        <f>IF(ISERR(I4-H4),"-",I4-H4)</f>
        <v>0</v>
      </c>
      <c r="K4" s="27">
        <f>'Parametre - Agendové IS'!D157</f>
        <v>1387880.8799999997</v>
      </c>
      <c r="L4" s="27">
        <f>'Parametre - Agendové IS'!E157</f>
        <v>1387880.8799999997</v>
      </c>
      <c r="M4" s="29">
        <f>IF(ISERR(L4-K4),"-",L4-K4)</f>
        <v>0</v>
      </c>
      <c r="N4" s="26">
        <f>-'Parametre - Agendové IS'!D97</f>
        <v>-2526269.4988505752</v>
      </c>
      <c r="O4" s="26">
        <f>-'Parametre - Agendové IS'!E97</f>
        <v>-2526269.4988505752</v>
      </c>
      <c r="P4" s="34">
        <f t="shared" ref="P4:P13" si="1">IF(ISERR(O4-N4),"-",O4-N4)</f>
        <v>0</v>
      </c>
      <c r="Q4" s="27">
        <f t="shared" ref="Q4:Q13" si="2">SUM(B4,E4)</f>
        <v>0</v>
      </c>
      <c r="R4" s="26">
        <f t="shared" ref="R4:R13" si="3">SUM(C4,F4)</f>
        <v>0</v>
      </c>
      <c r="S4" s="29">
        <f>R4-Q4</f>
        <v>0</v>
      </c>
      <c r="T4" s="27">
        <f>SUM(H4,K4,N4)</f>
        <v>-1138388.6188505755</v>
      </c>
      <c r="U4" s="26">
        <f>SUM(I4,L4,O4)</f>
        <v>-1138388.6188505755</v>
      </c>
      <c r="V4" s="29">
        <f>U4-T4</f>
        <v>0</v>
      </c>
    </row>
    <row r="5" spans="1:22" x14ac:dyDescent="0.3">
      <c r="A5" s="33" t="s">
        <v>26</v>
      </c>
      <c r="B5" s="27">
        <f>'Parametre - Agendové IS'!D138</f>
        <v>0</v>
      </c>
      <c r="C5" s="27">
        <f>'Parametre - Agendové IS'!E138</f>
        <v>0</v>
      </c>
      <c r="D5" s="29">
        <f t="shared" ref="D5:D13" si="4">IF(ISERR(C5-B5),"-",C5-B5)</f>
        <v>0</v>
      </c>
      <c r="E5" s="619">
        <v>0</v>
      </c>
      <c r="F5" s="620">
        <v>0</v>
      </c>
      <c r="G5" s="29">
        <f t="shared" si="0"/>
        <v>0</v>
      </c>
      <c r="H5" s="30">
        <v>0</v>
      </c>
      <c r="I5" s="26">
        <f>'Parametre - Agendové IS'!E118</f>
        <v>0</v>
      </c>
      <c r="J5" s="124">
        <f>IF(ISERR(I5-H5),"-",I5-H5)</f>
        <v>0</v>
      </c>
      <c r="K5" s="27">
        <f>'Parametre - Agendové IS'!D158</f>
        <v>1387880.8799999997</v>
      </c>
      <c r="L5" s="27">
        <f>'Parametre - Agendové IS'!E158</f>
        <v>1387880.8799999997</v>
      </c>
      <c r="M5" s="29">
        <f t="shared" ref="M5:M13" si="5">IF(ISERR(L5-K5),"-",L5-K5)</f>
        <v>0</v>
      </c>
      <c r="N5" s="26">
        <f>-'Parametre - Agendové IS'!D98</f>
        <v>-2526269.4988505752</v>
      </c>
      <c r="O5" s="26">
        <f>-'Parametre - Agendové IS'!E98</f>
        <v>-2526269.4988505752</v>
      </c>
      <c r="P5" s="29">
        <f t="shared" si="1"/>
        <v>0</v>
      </c>
      <c r="Q5" s="27">
        <f t="shared" si="2"/>
        <v>0</v>
      </c>
      <c r="R5" s="26">
        <f t="shared" si="3"/>
        <v>0</v>
      </c>
      <c r="S5" s="29">
        <f t="shared" ref="S5:S12" si="6">R5-Q5</f>
        <v>0</v>
      </c>
      <c r="T5" s="27">
        <f t="shared" ref="T5:T13" si="7">SUM(H5,K5,N5)</f>
        <v>-1138388.6188505755</v>
      </c>
      <c r="U5" s="26">
        <f t="shared" ref="U5:U13" si="8">SUM(I5,L5,O5)</f>
        <v>-1138388.6188505755</v>
      </c>
      <c r="V5" s="29">
        <f t="shared" ref="V5:V13" si="9">U5-T5</f>
        <v>0</v>
      </c>
    </row>
    <row r="6" spans="1:22" x14ac:dyDescent="0.3">
      <c r="A6" s="33" t="s">
        <v>27</v>
      </c>
      <c r="B6" s="27">
        <f>'Parametre - Agendové IS'!D139</f>
        <v>0</v>
      </c>
      <c r="C6" s="27">
        <f>'Parametre - Agendové IS'!E139</f>
        <v>0</v>
      </c>
      <c r="D6" s="29">
        <f t="shared" si="4"/>
        <v>0</v>
      </c>
      <c r="E6" s="619">
        <v>0</v>
      </c>
      <c r="F6" s="620">
        <v>0</v>
      </c>
      <c r="G6" s="29">
        <f t="shared" si="0"/>
        <v>0</v>
      </c>
      <c r="H6" s="30">
        <v>0</v>
      </c>
      <c r="I6" s="26">
        <f>'Parametre - Agendové IS'!E119</f>
        <v>0</v>
      </c>
      <c r="J6" s="29">
        <f t="shared" ref="J6:J13" si="10">IF(ISERR(I6-H6),"-",I6-H6)</f>
        <v>0</v>
      </c>
      <c r="K6" s="27">
        <f>'Parametre - Agendové IS'!D159</f>
        <v>1387880.8799999997</v>
      </c>
      <c r="L6" s="27">
        <f>'Parametre - Agendové IS'!E159</f>
        <v>2572457.0188871003</v>
      </c>
      <c r="M6" s="29">
        <f t="shared" si="5"/>
        <v>1184576.1388871006</v>
      </c>
      <c r="N6" s="26">
        <f>-'Parametre - Agendové IS'!D99</f>
        <v>-3962231.0209541512</v>
      </c>
      <c r="O6" s="26">
        <f>-'Parametre - Agendové IS'!E99</f>
        <v>-2526269.4988505747</v>
      </c>
      <c r="P6" s="29">
        <f t="shared" si="1"/>
        <v>1435961.5221035765</v>
      </c>
      <c r="Q6" s="27">
        <f t="shared" si="2"/>
        <v>0</v>
      </c>
      <c r="R6" s="26">
        <f t="shared" si="3"/>
        <v>0</v>
      </c>
      <c r="S6" s="29">
        <f t="shared" si="6"/>
        <v>0</v>
      </c>
      <c r="T6" s="27">
        <f t="shared" si="7"/>
        <v>-2574350.1409541517</v>
      </c>
      <c r="U6" s="26">
        <f t="shared" si="8"/>
        <v>46187.520036525559</v>
      </c>
      <c r="V6" s="29">
        <f t="shared" si="9"/>
        <v>2620537.6609906773</v>
      </c>
    </row>
    <row r="7" spans="1:22" x14ac:dyDescent="0.3">
      <c r="A7" s="33" t="s">
        <v>28</v>
      </c>
      <c r="B7" s="27">
        <f>'Parametre - Agendové IS'!D140</f>
        <v>0</v>
      </c>
      <c r="C7" s="27">
        <f>'Parametre - Agendové IS'!E140</f>
        <v>0</v>
      </c>
      <c r="D7" s="29">
        <f t="shared" si="4"/>
        <v>0</v>
      </c>
      <c r="E7" s="619">
        <v>0</v>
      </c>
      <c r="F7" s="620">
        <v>0</v>
      </c>
      <c r="G7" s="29">
        <f t="shared" si="0"/>
        <v>0</v>
      </c>
      <c r="H7" s="30">
        <v>0</v>
      </c>
      <c r="I7" s="26">
        <f>'Parametre - Agendové IS'!E120</f>
        <v>0</v>
      </c>
      <c r="J7" s="29">
        <f t="shared" si="10"/>
        <v>0</v>
      </c>
      <c r="K7" s="27">
        <f>'Parametre - Agendové IS'!D160</f>
        <v>1387880.8799999997</v>
      </c>
      <c r="L7" s="27">
        <f>'Parametre - Agendové IS'!E160</f>
        <v>2572457.0188871003</v>
      </c>
      <c r="M7" s="29">
        <f t="shared" si="5"/>
        <v>1184576.1388871006</v>
      </c>
      <c r="N7" s="26">
        <f>-'Parametre - Agendové IS'!D100</f>
        <v>-3962231.0209541512</v>
      </c>
      <c r="O7" s="26">
        <f>-'Parametre - Agendové IS'!E100</f>
        <v>-2526269.4988505747</v>
      </c>
      <c r="P7" s="29">
        <f t="shared" si="1"/>
        <v>1435961.5221035765</v>
      </c>
      <c r="Q7" s="27">
        <f t="shared" si="2"/>
        <v>0</v>
      </c>
      <c r="R7" s="26">
        <f t="shared" si="3"/>
        <v>0</v>
      </c>
      <c r="S7" s="29">
        <f t="shared" si="6"/>
        <v>0</v>
      </c>
      <c r="T7" s="27">
        <f t="shared" si="7"/>
        <v>-2574350.1409541517</v>
      </c>
      <c r="U7" s="26">
        <f t="shared" si="8"/>
        <v>46187.520036525559</v>
      </c>
      <c r="V7" s="29">
        <f t="shared" si="9"/>
        <v>2620537.6609906773</v>
      </c>
    </row>
    <row r="8" spans="1:22" x14ac:dyDescent="0.3">
      <c r="A8" s="33" t="s">
        <v>29</v>
      </c>
      <c r="B8" s="27">
        <f>'Parametre - Agendové IS'!D141</f>
        <v>0</v>
      </c>
      <c r="C8" s="27">
        <f>'Parametre - Agendové IS'!E141</f>
        <v>0</v>
      </c>
      <c r="D8" s="29">
        <f t="shared" si="4"/>
        <v>0</v>
      </c>
      <c r="E8" s="619">
        <v>0</v>
      </c>
      <c r="F8" s="620">
        <v>0</v>
      </c>
      <c r="G8" s="29">
        <f t="shared" si="0"/>
        <v>0</v>
      </c>
      <c r="H8" s="30">
        <v>0</v>
      </c>
      <c r="I8" s="26">
        <f>'Parametre - Agendové IS'!E121</f>
        <v>0</v>
      </c>
      <c r="J8" s="29">
        <f t="shared" si="10"/>
        <v>0</v>
      </c>
      <c r="K8" s="27">
        <f>'Parametre - Agendové IS'!D161</f>
        <v>1387880.8799999997</v>
      </c>
      <c r="L8" s="27">
        <f>'Parametre - Agendové IS'!E161</f>
        <v>2572457.0188871003</v>
      </c>
      <c r="M8" s="29">
        <f t="shared" si="5"/>
        <v>1184576.1388871006</v>
      </c>
      <c r="N8" s="26">
        <f>-'Parametre - Agendové IS'!D101</f>
        <v>-3962231.0209541512</v>
      </c>
      <c r="O8" s="26">
        <f>-'Parametre - Agendové IS'!E101</f>
        <v>-2526269.4988505747</v>
      </c>
      <c r="P8" s="29">
        <f t="shared" si="1"/>
        <v>1435961.5221035765</v>
      </c>
      <c r="Q8" s="27">
        <f t="shared" si="2"/>
        <v>0</v>
      </c>
      <c r="R8" s="26">
        <f t="shared" si="3"/>
        <v>0</v>
      </c>
      <c r="S8" s="29">
        <f t="shared" si="6"/>
        <v>0</v>
      </c>
      <c r="T8" s="27">
        <f t="shared" si="7"/>
        <v>-2574350.1409541517</v>
      </c>
      <c r="U8" s="26">
        <f t="shared" si="8"/>
        <v>46187.520036525559</v>
      </c>
      <c r="V8" s="29">
        <f t="shared" si="9"/>
        <v>2620537.6609906773</v>
      </c>
    </row>
    <row r="9" spans="1:22" x14ac:dyDescent="0.3">
      <c r="A9" s="33" t="s">
        <v>30</v>
      </c>
      <c r="B9" s="27">
        <f>'Parametre - Agendové IS'!D142</f>
        <v>0</v>
      </c>
      <c r="C9" s="27">
        <f>'Parametre - Agendové IS'!E142</f>
        <v>0</v>
      </c>
      <c r="D9" s="29">
        <f t="shared" si="4"/>
        <v>0</v>
      </c>
      <c r="E9" s="619">
        <v>0</v>
      </c>
      <c r="F9" s="620">
        <v>0</v>
      </c>
      <c r="G9" s="29">
        <f t="shared" si="0"/>
        <v>0</v>
      </c>
      <c r="H9" s="30">
        <v>0</v>
      </c>
      <c r="I9" s="26">
        <f>'Parametre - Agendové IS'!E122</f>
        <v>0</v>
      </c>
      <c r="J9" s="29">
        <f t="shared" si="10"/>
        <v>0</v>
      </c>
      <c r="K9" s="27">
        <f>'Parametre - Agendové IS'!D162</f>
        <v>1387880.8799999997</v>
      </c>
      <c r="L9" s="27">
        <f>'Parametre - Agendové IS'!E162</f>
        <v>2572457.0188871003</v>
      </c>
      <c r="M9" s="29">
        <f t="shared" si="5"/>
        <v>1184576.1388871006</v>
      </c>
      <c r="N9" s="26">
        <f>-'Parametre - Agendové IS'!D102</f>
        <v>-3962231.0209541512</v>
      </c>
      <c r="O9" s="26">
        <f>-'Parametre - Agendové IS'!E102</f>
        <v>-2526269.4988505747</v>
      </c>
      <c r="P9" s="29">
        <f t="shared" si="1"/>
        <v>1435961.5221035765</v>
      </c>
      <c r="Q9" s="27">
        <f t="shared" si="2"/>
        <v>0</v>
      </c>
      <c r="R9" s="26">
        <f t="shared" si="3"/>
        <v>0</v>
      </c>
      <c r="S9" s="29">
        <f t="shared" si="6"/>
        <v>0</v>
      </c>
      <c r="T9" s="27">
        <f t="shared" si="7"/>
        <v>-2574350.1409541517</v>
      </c>
      <c r="U9" s="26">
        <f t="shared" si="8"/>
        <v>46187.520036525559</v>
      </c>
      <c r="V9" s="29">
        <f t="shared" si="9"/>
        <v>2620537.6609906773</v>
      </c>
    </row>
    <row r="10" spans="1:22" x14ac:dyDescent="0.3">
      <c r="A10" s="33" t="s">
        <v>31</v>
      </c>
      <c r="B10" s="27">
        <f>'Parametre - Agendové IS'!D143</f>
        <v>0</v>
      </c>
      <c r="C10" s="27">
        <f>'Parametre - Agendové IS'!E143</f>
        <v>0</v>
      </c>
      <c r="D10" s="29">
        <f t="shared" si="4"/>
        <v>0</v>
      </c>
      <c r="E10" s="619">
        <v>0</v>
      </c>
      <c r="F10" s="620">
        <v>0</v>
      </c>
      <c r="G10" s="29">
        <f t="shared" si="0"/>
        <v>0</v>
      </c>
      <c r="H10" s="30">
        <v>0</v>
      </c>
      <c r="I10" s="26">
        <f>'Parametre - Agendové IS'!E123</f>
        <v>0</v>
      </c>
      <c r="J10" s="29">
        <f t="shared" si="10"/>
        <v>0</v>
      </c>
      <c r="K10" s="27">
        <f>'Parametre - Agendové IS'!D163</f>
        <v>1387880.8799999997</v>
      </c>
      <c r="L10" s="27">
        <f>'Parametre - Agendové IS'!E163</f>
        <v>2572457.0188871003</v>
      </c>
      <c r="M10" s="29">
        <f t="shared" si="5"/>
        <v>1184576.1388871006</v>
      </c>
      <c r="N10" s="26">
        <f>-'Parametre - Agendové IS'!D103</f>
        <v>-3962231.0209541512</v>
      </c>
      <c r="O10" s="26">
        <f>-'Parametre - Agendové IS'!E103</f>
        <v>-2526269.4988505747</v>
      </c>
      <c r="P10" s="29">
        <f t="shared" si="1"/>
        <v>1435961.5221035765</v>
      </c>
      <c r="Q10" s="27">
        <f t="shared" si="2"/>
        <v>0</v>
      </c>
      <c r="R10" s="26">
        <f t="shared" si="3"/>
        <v>0</v>
      </c>
      <c r="S10" s="29">
        <f t="shared" si="6"/>
        <v>0</v>
      </c>
      <c r="T10" s="27">
        <f t="shared" si="7"/>
        <v>-2574350.1409541517</v>
      </c>
      <c r="U10" s="26">
        <f t="shared" si="8"/>
        <v>46187.520036525559</v>
      </c>
      <c r="V10" s="29">
        <f t="shared" si="9"/>
        <v>2620537.6609906773</v>
      </c>
    </row>
    <row r="11" spans="1:22" x14ac:dyDescent="0.3">
      <c r="A11" s="33" t="s">
        <v>32</v>
      </c>
      <c r="B11" s="27">
        <f>'Parametre - Agendové IS'!D144</f>
        <v>0</v>
      </c>
      <c r="C11" s="27">
        <f>'Parametre - Agendové IS'!E144</f>
        <v>0</v>
      </c>
      <c r="D11" s="29">
        <f t="shared" si="4"/>
        <v>0</v>
      </c>
      <c r="E11" s="619">
        <v>0</v>
      </c>
      <c r="F11" s="620">
        <v>0</v>
      </c>
      <c r="G11" s="29">
        <f t="shared" si="0"/>
        <v>0</v>
      </c>
      <c r="H11" s="30">
        <v>0</v>
      </c>
      <c r="I11" s="26">
        <f>'Parametre - Agendové IS'!E124</f>
        <v>0</v>
      </c>
      <c r="J11" s="29">
        <f t="shared" si="10"/>
        <v>0</v>
      </c>
      <c r="K11" s="27">
        <f>'Parametre - Agendové IS'!D164</f>
        <v>1387880.8799999997</v>
      </c>
      <c r="L11" s="27">
        <f>'Parametre - Agendové IS'!E164</f>
        <v>2572457.0188871003</v>
      </c>
      <c r="M11" s="29">
        <f t="shared" si="5"/>
        <v>1184576.1388871006</v>
      </c>
      <c r="N11" s="26">
        <f>-'Parametre - Agendové IS'!D104</f>
        <v>-3962231.0209541512</v>
      </c>
      <c r="O11" s="26">
        <f>-'Parametre - Agendové IS'!E104</f>
        <v>-2526269.4988505747</v>
      </c>
      <c r="P11" s="29">
        <f t="shared" si="1"/>
        <v>1435961.5221035765</v>
      </c>
      <c r="Q11" s="27">
        <f t="shared" si="2"/>
        <v>0</v>
      </c>
      <c r="R11" s="26">
        <f t="shared" si="3"/>
        <v>0</v>
      </c>
      <c r="S11" s="29">
        <f t="shared" si="6"/>
        <v>0</v>
      </c>
      <c r="T11" s="27">
        <f t="shared" si="7"/>
        <v>-2574350.1409541517</v>
      </c>
      <c r="U11" s="26">
        <f t="shared" si="8"/>
        <v>46187.520036525559</v>
      </c>
      <c r="V11" s="29">
        <f t="shared" si="9"/>
        <v>2620537.6609906773</v>
      </c>
    </row>
    <row r="12" spans="1:22" x14ac:dyDescent="0.3">
      <c r="A12" s="33" t="s">
        <v>33</v>
      </c>
      <c r="B12" s="27">
        <f>'Parametre - Agendové IS'!D145</f>
        <v>0</v>
      </c>
      <c r="C12" s="27">
        <f>'Parametre - Agendové IS'!E145</f>
        <v>0</v>
      </c>
      <c r="D12" s="29">
        <f t="shared" si="4"/>
        <v>0</v>
      </c>
      <c r="E12" s="619">
        <v>0</v>
      </c>
      <c r="F12" s="620">
        <v>0</v>
      </c>
      <c r="G12" s="29">
        <f t="shared" si="0"/>
        <v>0</v>
      </c>
      <c r="H12" s="30">
        <v>0</v>
      </c>
      <c r="I12" s="26">
        <f>'Parametre - Agendové IS'!E125</f>
        <v>0</v>
      </c>
      <c r="J12" s="29">
        <f t="shared" si="10"/>
        <v>0</v>
      </c>
      <c r="K12" s="27">
        <f>'Parametre - Agendové IS'!D165</f>
        <v>1387880.8799999997</v>
      </c>
      <c r="L12" s="27">
        <f>'Parametre - Agendové IS'!E165</f>
        <v>2572457.0188871003</v>
      </c>
      <c r="M12" s="29">
        <f t="shared" si="5"/>
        <v>1184576.1388871006</v>
      </c>
      <c r="N12" s="26">
        <f>-'Parametre - Agendové IS'!D105</f>
        <v>-3962231.0209541512</v>
      </c>
      <c r="O12" s="26">
        <f>-'Parametre - Agendové IS'!E105</f>
        <v>-2526269.4988505747</v>
      </c>
      <c r="P12" s="29">
        <f t="shared" si="1"/>
        <v>1435961.5221035765</v>
      </c>
      <c r="Q12" s="27">
        <f t="shared" si="2"/>
        <v>0</v>
      </c>
      <c r="R12" s="26">
        <f t="shared" si="3"/>
        <v>0</v>
      </c>
      <c r="S12" s="29">
        <f t="shared" si="6"/>
        <v>0</v>
      </c>
      <c r="T12" s="27">
        <f t="shared" si="7"/>
        <v>-2574350.1409541517</v>
      </c>
      <c r="U12" s="26">
        <f t="shared" si="8"/>
        <v>46187.520036525559</v>
      </c>
      <c r="V12" s="29">
        <f t="shared" si="9"/>
        <v>2620537.6609906773</v>
      </c>
    </row>
    <row r="13" spans="1:22" ht="15.6" customHeight="1" thickBot="1" x14ac:dyDescent="0.35">
      <c r="A13" s="33" t="s">
        <v>34</v>
      </c>
      <c r="B13" s="47">
        <f>'Parametre - Agendové IS'!D146</f>
        <v>0</v>
      </c>
      <c r="C13" s="47">
        <f>'Parametre - Agendové IS'!E146</f>
        <v>0</v>
      </c>
      <c r="D13" s="133">
        <f t="shared" si="4"/>
        <v>0</v>
      </c>
      <c r="E13" s="621">
        <v>0</v>
      </c>
      <c r="F13" s="622">
        <v>0</v>
      </c>
      <c r="G13" s="133">
        <f t="shared" si="0"/>
        <v>0</v>
      </c>
      <c r="H13" s="30">
        <v>0</v>
      </c>
      <c r="I13" s="43">
        <f>'Parametre - Agendové IS'!E126</f>
        <v>0</v>
      </c>
      <c r="J13" s="133">
        <f t="shared" si="10"/>
        <v>0</v>
      </c>
      <c r="K13" s="47">
        <f>'Parametre - Agendové IS'!D166</f>
        <v>1387880.8799999997</v>
      </c>
      <c r="L13" s="47">
        <f>'Parametre - Agendové IS'!E166</f>
        <v>2572457.0188871003</v>
      </c>
      <c r="M13" s="133">
        <f t="shared" si="5"/>
        <v>1184576.1388871006</v>
      </c>
      <c r="N13" s="43">
        <f>-'Parametre - Agendové IS'!D106</f>
        <v>-3962231.0209541512</v>
      </c>
      <c r="O13" s="43">
        <f>-'Parametre - Agendové IS'!E106</f>
        <v>-2526269.4988505747</v>
      </c>
      <c r="P13" s="43">
        <f t="shared" si="1"/>
        <v>1435961.5221035765</v>
      </c>
      <c r="Q13" s="136">
        <f t="shared" si="2"/>
        <v>0</v>
      </c>
      <c r="R13" s="43">
        <f t="shared" si="3"/>
        <v>0</v>
      </c>
      <c r="S13" s="133">
        <f>R13-Q13</f>
        <v>0</v>
      </c>
      <c r="T13" s="47">
        <f t="shared" si="7"/>
        <v>-2574350.1409541517</v>
      </c>
      <c r="U13" s="43">
        <f t="shared" si="8"/>
        <v>46187.520036525559</v>
      </c>
      <c r="V13" s="133">
        <f t="shared" si="9"/>
        <v>2620537.6609906773</v>
      </c>
    </row>
    <row r="14" spans="1:22" x14ac:dyDescent="0.3">
      <c r="A14" s="137" t="s">
        <v>103</v>
      </c>
      <c r="B14" s="455">
        <f>SUM(B4:B13)</f>
        <v>0</v>
      </c>
      <c r="C14" s="455">
        <f t="shared" ref="C14:P14" si="11">SUM(C4:C13)</f>
        <v>0</v>
      </c>
      <c r="D14" s="456">
        <f t="shared" si="11"/>
        <v>0</v>
      </c>
      <c r="E14" s="455">
        <f t="shared" si="11"/>
        <v>0</v>
      </c>
      <c r="F14" s="457">
        <f t="shared" si="11"/>
        <v>0</v>
      </c>
      <c r="G14" s="456">
        <f t="shared" si="11"/>
        <v>0</v>
      </c>
      <c r="H14" s="455">
        <f t="shared" si="11"/>
        <v>0</v>
      </c>
      <c r="I14" s="457">
        <f t="shared" si="11"/>
        <v>0</v>
      </c>
      <c r="J14" s="456">
        <f t="shared" si="11"/>
        <v>0</v>
      </c>
      <c r="K14" s="455">
        <f t="shared" si="11"/>
        <v>13878808.799999995</v>
      </c>
      <c r="L14" s="455">
        <f t="shared" si="11"/>
        <v>23355417.9110968</v>
      </c>
      <c r="M14" s="456">
        <f t="shared" si="11"/>
        <v>9476609.111096805</v>
      </c>
      <c r="N14" s="457">
        <f t="shared" si="11"/>
        <v>-36750387.165334359</v>
      </c>
      <c r="O14" s="457">
        <f t="shared" si="11"/>
        <v>-25262694.988505751</v>
      </c>
      <c r="P14" s="458">
        <f t="shared" si="11"/>
        <v>11487692.17682861</v>
      </c>
      <c r="Q14" s="459">
        <f t="shared" ref="Q14:V14" si="12">SUM(Q4:Q13)</f>
        <v>0</v>
      </c>
      <c r="R14" s="457">
        <f t="shared" si="12"/>
        <v>0</v>
      </c>
      <c r="S14" s="460">
        <f t="shared" si="12"/>
        <v>0</v>
      </c>
      <c r="T14" s="459">
        <f t="shared" si="12"/>
        <v>-22871578.365334366</v>
      </c>
      <c r="U14" s="457">
        <f t="shared" si="12"/>
        <v>-1907277.0774089466</v>
      </c>
      <c r="V14" s="461">
        <f t="shared" si="12"/>
        <v>20964301.287925418</v>
      </c>
    </row>
    <row r="15" spans="1:22" ht="15" thickBot="1" x14ac:dyDescent="0.35">
      <c r="A15" s="138" t="s">
        <v>151</v>
      </c>
      <c r="B15" s="462"/>
      <c r="C15" s="462"/>
      <c r="D15" s="463">
        <f>D4+NPV(Faktory!$D$5,'Prínosy - Agendové IS'!D5:D13)</f>
        <v>0</v>
      </c>
      <c r="E15" s="464"/>
      <c r="F15" s="465"/>
      <c r="G15" s="463">
        <f>G4+NPV(Faktory!$D$3,'Prínosy - Agendové IS'!G5:G13)</f>
        <v>0</v>
      </c>
      <c r="H15" s="464"/>
      <c r="I15" s="465"/>
      <c r="J15" s="463">
        <f>J4+NPV(Faktory!$D$5,'Prínosy - Agendové IS'!J5:J13)</f>
        <v>0</v>
      </c>
      <c r="K15" s="462"/>
      <c r="L15" s="462"/>
      <c r="M15" s="463">
        <f>M4+NPV(Faktory!$D$5,'Prínosy - Agendové IS'!M5:M13)</f>
        <v>7291588.2051114244</v>
      </c>
      <c r="N15" s="465"/>
      <c r="O15" s="465"/>
      <c r="P15" s="466">
        <f>P4+NPV(Faktory!$D$5,'Prínosy - Agendové IS'!P5:P13)</f>
        <v>8838976.0301952194</v>
      </c>
      <c r="Q15" s="467"/>
      <c r="R15" s="465"/>
      <c r="S15" s="463">
        <f>S4+NPV(Faktory!$D$5,'Prínosy - Agendové IS'!S5:S13)</f>
        <v>0</v>
      </c>
      <c r="T15" s="467"/>
      <c r="U15" s="465"/>
      <c r="V15" s="463">
        <f>V4+NPV(Faktory!$D$5,'Prínosy - Agendové IS'!V5:V13)</f>
        <v>16130564.235306645</v>
      </c>
    </row>
    <row r="17" spans="2:2" x14ac:dyDescent="0.3">
      <c r="B17" s="101" t="s">
        <v>159</v>
      </c>
    </row>
    <row r="19" spans="2:2" x14ac:dyDescent="0.3">
      <c r="B19" t="s">
        <v>646</v>
      </c>
    </row>
    <row r="38" spans="15:15" x14ac:dyDescent="0.3">
      <c r="O38" s="135"/>
    </row>
  </sheetData>
  <protectedRanges>
    <protectedRange algorithmName="SHA-512" hashValue="f4ycvS5NMakRYlpexdvZE7kc5B00PVZgCpNS64jzUJaJceYSE+aleudxwPGxr22CZo/5IZ2uTHVQQMolnN60/A==" saltValue="c0KVc6r/LTYq/uhy9236YA==" spinCount="100000" sqref="E2:G15" name="Rozsah1"/>
  </protectedRanges>
  <mergeCells count="10">
    <mergeCell ref="B1:D1"/>
    <mergeCell ref="Q1:V1"/>
    <mergeCell ref="B2:D2"/>
    <mergeCell ref="E2:G2"/>
    <mergeCell ref="H2:J2"/>
    <mergeCell ref="K2:M2"/>
    <mergeCell ref="Q2:S2"/>
    <mergeCell ref="T2:V2"/>
    <mergeCell ref="N2:P2"/>
    <mergeCell ref="E1:P1"/>
  </mergeCells>
  <pageMargins left="0.70866141732283472" right="0.70866141732283472" top="0.74803149606299213" bottom="0.74803149606299213" header="0.31496062992125984" footer="0.31496062992125984"/>
  <pageSetup paperSize="9" scale="43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2"/>
  <sheetViews>
    <sheetView showGridLines="0" topLeftCell="E1" zoomScale="70" zoomScaleNormal="70" workbookViewId="0">
      <pane ySplit="3" topLeftCell="A4" activePane="bottomLeft" state="frozen"/>
      <selection activeCell="B1" sqref="B1"/>
      <selection pane="bottomLeft" activeCell="V14" sqref="V14"/>
    </sheetView>
  </sheetViews>
  <sheetFormatPr defaultColWidth="8.88671875" defaultRowHeight="14.4" x14ac:dyDescent="0.3"/>
  <cols>
    <col min="2" max="2" width="14.33203125" customWidth="1"/>
    <col min="3" max="3" width="15.88671875" bestFit="1" customWidth="1"/>
    <col min="4" max="4" width="16.6640625" bestFit="1" customWidth="1"/>
    <col min="5" max="6" width="13.44140625" bestFit="1" customWidth="1"/>
    <col min="7" max="7" width="16.6640625" bestFit="1" customWidth="1"/>
    <col min="8" max="8" width="14.44140625" bestFit="1" customWidth="1"/>
    <col min="9" max="9" width="13.44140625" bestFit="1" customWidth="1"/>
    <col min="10" max="10" width="16.6640625" bestFit="1" customWidth="1"/>
    <col min="11" max="16" width="16.6640625" customWidth="1"/>
    <col min="17" max="17" width="13.44140625" bestFit="1" customWidth="1"/>
    <col min="18" max="18" width="15.88671875" bestFit="1" customWidth="1"/>
    <col min="19" max="19" width="15.33203125" customWidth="1"/>
    <col min="20" max="21" width="17" bestFit="1" customWidth="1"/>
    <col min="22" max="22" width="14.33203125" bestFit="1" customWidth="1"/>
  </cols>
  <sheetData>
    <row r="1" spans="1:23" ht="15.75" customHeight="1" thickBot="1" x14ac:dyDescent="0.35">
      <c r="A1" s="37"/>
      <c r="B1" s="1121" t="s">
        <v>172</v>
      </c>
      <c r="C1" s="1122"/>
      <c r="D1" s="1122"/>
      <c r="E1" s="1122"/>
      <c r="F1" s="1122"/>
      <c r="G1" s="1122"/>
      <c r="H1" s="1122"/>
      <c r="I1" s="1122"/>
      <c r="J1" s="1122"/>
      <c r="K1" s="1122"/>
      <c r="L1" s="1122"/>
      <c r="M1" s="1123"/>
      <c r="N1" s="1121" t="s">
        <v>265</v>
      </c>
      <c r="O1" s="1122"/>
      <c r="P1" s="1123"/>
      <c r="Q1" s="1120" t="s">
        <v>69</v>
      </c>
      <c r="R1" s="1120"/>
      <c r="S1" s="1120"/>
      <c r="T1" s="1093" t="s">
        <v>70</v>
      </c>
      <c r="U1" s="1094"/>
      <c r="V1" s="1095"/>
    </row>
    <row r="2" spans="1:23" ht="15.75" customHeight="1" thickBot="1" x14ac:dyDescent="0.35">
      <c r="A2" s="8"/>
      <c r="B2" s="1094" t="s">
        <v>66</v>
      </c>
      <c r="C2" s="1094"/>
      <c r="D2" s="1095"/>
      <c r="E2" s="1094" t="s">
        <v>67</v>
      </c>
      <c r="F2" s="1094"/>
      <c r="G2" s="1095"/>
      <c r="H2" s="1094" t="s">
        <v>105</v>
      </c>
      <c r="I2" s="1094"/>
      <c r="J2" s="1095"/>
      <c r="K2" s="1094" t="s">
        <v>296</v>
      </c>
      <c r="L2" s="1094"/>
      <c r="M2" s="1095"/>
      <c r="N2" s="1094"/>
      <c r="O2" s="1094"/>
      <c r="P2" s="1095"/>
      <c r="Q2" s="1094" t="s">
        <v>68</v>
      </c>
      <c r="R2" s="1094"/>
      <c r="S2" s="1095"/>
      <c r="T2" s="8"/>
      <c r="U2" s="8"/>
      <c r="V2" s="38"/>
    </row>
    <row r="3" spans="1:23" ht="19.350000000000001" customHeight="1" thickBot="1" x14ac:dyDescent="0.35">
      <c r="A3" s="40" t="s">
        <v>23</v>
      </c>
      <c r="B3" s="41" t="s">
        <v>210</v>
      </c>
      <c r="C3" s="41" t="s">
        <v>156</v>
      </c>
      <c r="D3" s="42" t="s">
        <v>24</v>
      </c>
      <c r="E3" s="41" t="s">
        <v>210</v>
      </c>
      <c r="F3" s="41" t="s">
        <v>156</v>
      </c>
      <c r="G3" s="42" t="s">
        <v>24</v>
      </c>
      <c r="H3" s="41" t="s">
        <v>210</v>
      </c>
      <c r="I3" s="41" t="s">
        <v>156</v>
      </c>
      <c r="J3" s="42" t="s">
        <v>24</v>
      </c>
      <c r="K3" s="41" t="s">
        <v>210</v>
      </c>
      <c r="L3" s="41" t="s">
        <v>156</v>
      </c>
      <c r="M3" s="42" t="s">
        <v>24</v>
      </c>
      <c r="N3" s="41" t="s">
        <v>210</v>
      </c>
      <c r="O3" s="41" t="s">
        <v>156</v>
      </c>
      <c r="P3" s="42" t="s">
        <v>24</v>
      </c>
      <c r="Q3" s="41" t="s">
        <v>210</v>
      </c>
      <c r="R3" s="41" t="s">
        <v>156</v>
      </c>
      <c r="S3" s="42" t="s">
        <v>24</v>
      </c>
      <c r="T3" s="41" t="s">
        <v>210</v>
      </c>
      <c r="U3" s="41" t="s">
        <v>156</v>
      </c>
      <c r="V3" s="42" t="s">
        <v>24</v>
      </c>
    </row>
    <row r="4" spans="1:23" x14ac:dyDescent="0.3">
      <c r="A4" s="25" t="s">
        <v>25</v>
      </c>
      <c r="B4" s="26">
        <f>TCO!D26+TCO!D27</f>
        <v>0</v>
      </c>
      <c r="C4" s="26">
        <f>(TCO!D$12*(1+$W$5))+TCO!D$13</f>
        <v>300144</v>
      </c>
      <c r="D4" s="34">
        <f>C4-B4</f>
        <v>300144</v>
      </c>
      <c r="E4" s="27">
        <f>TCO!D22+TCO!D23</f>
        <v>0</v>
      </c>
      <c r="F4" s="26">
        <f>(TCO!D$7*(1+$W$5))+TCO!D$8</f>
        <v>0</v>
      </c>
      <c r="G4" s="34">
        <f>F4-E4</f>
        <v>0</v>
      </c>
      <c r="H4" s="26">
        <f>TCO!D24+TCO!D25</f>
        <v>31564.799999999999</v>
      </c>
      <c r="I4" s="26">
        <f>(TCO!D$9*(1+$W$5))+TCO!D$10</f>
        <v>2986765.5120000001</v>
      </c>
      <c r="J4" s="34">
        <f>I4-H4</f>
        <v>2955200.7120000003</v>
      </c>
      <c r="K4" s="27">
        <v>0</v>
      </c>
      <c r="L4" s="27">
        <f>TCO!D11</f>
        <v>0</v>
      </c>
      <c r="M4" s="34">
        <f>L4-K4</f>
        <v>0</v>
      </c>
      <c r="N4" s="27">
        <v>0</v>
      </c>
      <c r="O4" s="27">
        <f>TCO!D14</f>
        <v>305667.84161290323</v>
      </c>
      <c r="P4" s="34">
        <f>O4-N4</f>
        <v>305667.84161290323</v>
      </c>
      <c r="Q4" s="27">
        <f>'Parametre - Agendové IS'!D127</f>
        <v>0</v>
      </c>
      <c r="R4" s="27">
        <f>'Parametre - Agendové IS'!E127</f>
        <v>0</v>
      </c>
      <c r="S4" s="34">
        <f t="shared" ref="S4:S13" si="0">IF(ISERR(R4-Q4),"-",R4-Q4)</f>
        <v>0</v>
      </c>
      <c r="T4" s="26">
        <f>SUM(B4,E4,H4,K4,N4,Q4)</f>
        <v>31564.799999999999</v>
      </c>
      <c r="U4" s="26">
        <f>((C4+F4+L4+O4+I4)*(1+$W$4))+R4</f>
        <v>3592577.3536129035</v>
      </c>
      <c r="V4" s="34">
        <f>U4-T4</f>
        <v>3561012.5536129037</v>
      </c>
      <c r="W4" s="175">
        <f>'Analyza citlivosti - AgendovéIS'!B7</f>
        <v>0</v>
      </c>
    </row>
    <row r="5" spans="1:23" x14ac:dyDescent="0.3">
      <c r="A5" s="25" t="s">
        <v>26</v>
      </c>
      <c r="B5" s="26">
        <f>TCO!E26+TCO!E27</f>
        <v>0</v>
      </c>
      <c r="C5" s="26">
        <f>(TCO!E$12*(1+$W$5))+TCO!E$13</f>
        <v>0</v>
      </c>
      <c r="D5" s="29">
        <f t="shared" ref="D5:D13" si="1">C5-B5</f>
        <v>0</v>
      </c>
      <c r="E5" s="27">
        <f>TCO!E22+TCO!E23</f>
        <v>0</v>
      </c>
      <c r="F5" s="26">
        <f>(TCO!E$7*(1+$W$5))+TCO!E$8</f>
        <v>0</v>
      </c>
      <c r="G5" s="29">
        <f t="shared" ref="G5:G13" si="2">F5-E5</f>
        <v>0</v>
      </c>
      <c r="H5" s="26">
        <f>TCO!E24+TCO!E25</f>
        <v>31564.799999999999</v>
      </c>
      <c r="I5" s="26">
        <f>(TCO!E$9*(1+$W$5))+TCO!E$10</f>
        <v>5158117.2120000022</v>
      </c>
      <c r="J5" s="29">
        <f t="shared" ref="J5:J13" si="3">I5-H5</f>
        <v>5126552.4120000023</v>
      </c>
      <c r="K5" s="27">
        <v>0</v>
      </c>
      <c r="L5" s="27">
        <f>TCO!E11</f>
        <v>0</v>
      </c>
      <c r="M5" s="29">
        <f t="shared" ref="M5:M13" si="4">L5-K5</f>
        <v>0</v>
      </c>
      <c r="N5" s="27">
        <v>0</v>
      </c>
      <c r="O5" s="27">
        <f>TCO!E14</f>
        <v>305667.84161290323</v>
      </c>
      <c r="P5" s="29">
        <f t="shared" ref="P5:P13" si="5">O5-N5</f>
        <v>305667.84161290323</v>
      </c>
      <c r="Q5" s="27">
        <f>'Parametre - Agendové IS'!D128</f>
        <v>0</v>
      </c>
      <c r="R5" s="27">
        <f>'Parametre - Agendové IS'!E128</f>
        <v>0</v>
      </c>
      <c r="S5" s="29">
        <f t="shared" si="0"/>
        <v>0</v>
      </c>
      <c r="T5" s="26">
        <f t="shared" ref="T5:T13" si="6">SUM(B5,E5,H5,K5,N5,Q5)</f>
        <v>31564.799999999999</v>
      </c>
      <c r="U5" s="26">
        <f t="shared" ref="U5:U13" si="7">((C5+F5+L5+O5+I5)*(1+$W$4))+R5</f>
        <v>5463785.0536129056</v>
      </c>
      <c r="V5" s="29">
        <f t="shared" ref="V5:V13" si="8">U5-T5</f>
        <v>5432220.2536129057</v>
      </c>
      <c r="W5" s="175">
        <f>'Analyza citlivosti - AgendovéIS'!E7</f>
        <v>0</v>
      </c>
    </row>
    <row r="6" spans="1:23" x14ac:dyDescent="0.3">
      <c r="A6" s="25" t="s">
        <v>27</v>
      </c>
      <c r="B6" s="26">
        <f>TCO!F26+TCO!F27</f>
        <v>0</v>
      </c>
      <c r="C6" s="26">
        <f>(TCO!F$12*(1+$W$5))+TCO!F$13</f>
        <v>0</v>
      </c>
      <c r="D6" s="29">
        <f t="shared" si="1"/>
        <v>0</v>
      </c>
      <c r="E6" s="27">
        <f>TCO!F22+TCO!F23</f>
        <v>0</v>
      </c>
      <c r="F6" s="26">
        <f>(TCO!F$7*(1+$W$5))+TCO!F$8</f>
        <v>0</v>
      </c>
      <c r="G6" s="29">
        <f t="shared" si="2"/>
        <v>0</v>
      </c>
      <c r="H6" s="26">
        <f>TCO!F24+TCO!F25</f>
        <v>31564.799999999999</v>
      </c>
      <c r="I6" s="26">
        <f>(TCO!F$9*(1+$W$5))+TCO!F$10</f>
        <v>552592.11300000013</v>
      </c>
      <c r="J6" s="29">
        <f t="shared" si="3"/>
        <v>521027.31300000014</v>
      </c>
      <c r="K6" s="27">
        <v>0</v>
      </c>
      <c r="L6" s="27">
        <f>TCO!F11</f>
        <v>0</v>
      </c>
      <c r="M6" s="29">
        <f t="shared" si="4"/>
        <v>0</v>
      </c>
      <c r="N6" s="27">
        <v>0</v>
      </c>
      <c r="O6" s="27">
        <f>TCO!F14</f>
        <v>0</v>
      </c>
      <c r="P6" s="29">
        <f t="shared" si="5"/>
        <v>0</v>
      </c>
      <c r="Q6" s="27">
        <f>'Parametre - Agendové IS'!D129</f>
        <v>0</v>
      </c>
      <c r="R6" s="27">
        <f>'Parametre - Agendové IS'!E129</f>
        <v>0</v>
      </c>
      <c r="S6" s="29">
        <f t="shared" si="0"/>
        <v>0</v>
      </c>
      <c r="T6" s="26">
        <f t="shared" si="6"/>
        <v>31564.799999999999</v>
      </c>
      <c r="U6" s="26">
        <f t="shared" si="7"/>
        <v>552592.11300000013</v>
      </c>
      <c r="V6" s="29">
        <f t="shared" si="8"/>
        <v>521027.31300000014</v>
      </c>
    </row>
    <row r="7" spans="1:23" x14ac:dyDescent="0.3">
      <c r="A7" s="25" t="s">
        <v>28</v>
      </c>
      <c r="B7" s="26">
        <f>TCO!G26+TCO!G27</f>
        <v>0</v>
      </c>
      <c r="C7" s="26">
        <f>(TCO!G$12*(1+$W$5))+TCO!G$13</f>
        <v>0</v>
      </c>
      <c r="D7" s="29">
        <f t="shared" si="1"/>
        <v>0</v>
      </c>
      <c r="E7" s="27">
        <f>TCO!G22+TCO!G23</f>
        <v>0</v>
      </c>
      <c r="F7" s="26">
        <f>(TCO!G$7*(1+$W$5))+TCO!G$8</f>
        <v>0</v>
      </c>
      <c r="G7" s="29">
        <f t="shared" si="2"/>
        <v>0</v>
      </c>
      <c r="H7" s="26">
        <f>TCO!G24+TCO!G25</f>
        <v>31564.799999999999</v>
      </c>
      <c r="I7" s="26">
        <f>(TCO!G$9*(1+$W$5))+TCO!G$10</f>
        <v>552592.11300000013</v>
      </c>
      <c r="J7" s="29">
        <f t="shared" si="3"/>
        <v>521027.31300000014</v>
      </c>
      <c r="K7" s="27">
        <v>0</v>
      </c>
      <c r="L7" s="27">
        <f>TCO!G11</f>
        <v>0</v>
      </c>
      <c r="M7" s="29">
        <f t="shared" si="4"/>
        <v>0</v>
      </c>
      <c r="N7" s="27">
        <v>0</v>
      </c>
      <c r="O7" s="27">
        <f>TCO!G14</f>
        <v>0</v>
      </c>
      <c r="P7" s="29">
        <f t="shared" si="5"/>
        <v>0</v>
      </c>
      <c r="Q7" s="27">
        <f>'Parametre - Agendové IS'!D130</f>
        <v>0</v>
      </c>
      <c r="R7" s="27">
        <f>'Parametre - Agendové IS'!E130</f>
        <v>0</v>
      </c>
      <c r="S7" s="29">
        <f t="shared" si="0"/>
        <v>0</v>
      </c>
      <c r="T7" s="26">
        <f t="shared" si="6"/>
        <v>31564.799999999999</v>
      </c>
      <c r="U7" s="26">
        <f t="shared" si="7"/>
        <v>552592.11300000013</v>
      </c>
      <c r="V7" s="29">
        <f t="shared" si="8"/>
        <v>521027.31300000014</v>
      </c>
    </row>
    <row r="8" spans="1:23" x14ac:dyDescent="0.3">
      <c r="A8" s="25" t="s">
        <v>29</v>
      </c>
      <c r="B8" s="26">
        <f>TCO!H26+TCO!H27</f>
        <v>0</v>
      </c>
      <c r="C8" s="26">
        <f>(TCO!H$12*(1+$W$5))+TCO!H$13</f>
        <v>0</v>
      </c>
      <c r="D8" s="29">
        <f t="shared" si="1"/>
        <v>0</v>
      </c>
      <c r="E8" s="27">
        <f>TCO!H22+TCO!H23</f>
        <v>0</v>
      </c>
      <c r="F8" s="26">
        <f>(TCO!H$7*(1+$W$5))+TCO!H$8</f>
        <v>0</v>
      </c>
      <c r="G8" s="29">
        <f t="shared" si="2"/>
        <v>0</v>
      </c>
      <c r="H8" s="26">
        <f>TCO!H24+TCO!H25</f>
        <v>31564.799999999999</v>
      </c>
      <c r="I8" s="26">
        <f>(TCO!H$9*(1+$W$5))+TCO!H$10</f>
        <v>552592.11300000013</v>
      </c>
      <c r="J8" s="29">
        <f t="shared" si="3"/>
        <v>521027.31300000014</v>
      </c>
      <c r="K8" s="27">
        <v>0</v>
      </c>
      <c r="L8" s="27">
        <f>TCO!H11</f>
        <v>0</v>
      </c>
      <c r="M8" s="29">
        <f t="shared" si="4"/>
        <v>0</v>
      </c>
      <c r="N8" s="27">
        <v>0</v>
      </c>
      <c r="O8" s="27">
        <f>TCO!H14</f>
        <v>0</v>
      </c>
      <c r="P8" s="29">
        <f t="shared" si="5"/>
        <v>0</v>
      </c>
      <c r="Q8" s="27">
        <f>'Parametre - Agendové IS'!D131</f>
        <v>0</v>
      </c>
      <c r="R8" s="27">
        <f>'Parametre - Agendové IS'!E131</f>
        <v>0</v>
      </c>
      <c r="S8" s="29">
        <f t="shared" si="0"/>
        <v>0</v>
      </c>
      <c r="T8" s="26">
        <f t="shared" si="6"/>
        <v>31564.799999999999</v>
      </c>
      <c r="U8" s="26">
        <f t="shared" si="7"/>
        <v>552592.11300000013</v>
      </c>
      <c r="V8" s="29">
        <f t="shared" si="8"/>
        <v>521027.31300000014</v>
      </c>
    </row>
    <row r="9" spans="1:23" x14ac:dyDescent="0.3">
      <c r="A9" s="25" t="s">
        <v>30</v>
      </c>
      <c r="B9" s="26">
        <f>TCO!I26+TCO!I27</f>
        <v>0</v>
      </c>
      <c r="C9" s="26">
        <f>(TCO!I$12*(1+$W$5))+TCO!I$13</f>
        <v>0</v>
      </c>
      <c r="D9" s="29">
        <f t="shared" si="1"/>
        <v>0</v>
      </c>
      <c r="E9" s="27">
        <f>TCO!I22+TCO!I23</f>
        <v>0</v>
      </c>
      <c r="F9" s="26">
        <f>(TCO!I$7*(1+$W$5))+TCO!I$8</f>
        <v>0</v>
      </c>
      <c r="G9" s="29">
        <f t="shared" si="2"/>
        <v>0</v>
      </c>
      <c r="H9" s="26">
        <f>TCO!I24+TCO!I25</f>
        <v>31564.799999999999</v>
      </c>
      <c r="I9" s="26">
        <f>(TCO!I$9*(1+$W$5))+TCO!I$10</f>
        <v>552592.11300000013</v>
      </c>
      <c r="J9" s="29">
        <f t="shared" si="3"/>
        <v>521027.31300000014</v>
      </c>
      <c r="K9" s="27">
        <v>0</v>
      </c>
      <c r="L9" s="27">
        <f>TCO!I11</f>
        <v>0</v>
      </c>
      <c r="M9" s="29">
        <f t="shared" si="4"/>
        <v>0</v>
      </c>
      <c r="N9" s="27">
        <v>0</v>
      </c>
      <c r="O9" s="27">
        <f>TCO!I14</f>
        <v>0</v>
      </c>
      <c r="P9" s="29">
        <f t="shared" si="5"/>
        <v>0</v>
      </c>
      <c r="Q9" s="27">
        <f>'Parametre - Agendové IS'!D132</f>
        <v>0</v>
      </c>
      <c r="R9" s="27">
        <f>'Parametre - Agendové IS'!E132</f>
        <v>0</v>
      </c>
      <c r="S9" s="29">
        <f t="shared" si="0"/>
        <v>0</v>
      </c>
      <c r="T9" s="26">
        <f t="shared" si="6"/>
        <v>31564.799999999999</v>
      </c>
      <c r="U9" s="26">
        <f t="shared" si="7"/>
        <v>552592.11300000013</v>
      </c>
      <c r="V9" s="29">
        <f t="shared" si="8"/>
        <v>521027.31300000014</v>
      </c>
    </row>
    <row r="10" spans="1:23" x14ac:dyDescent="0.3">
      <c r="A10" s="25" t="s">
        <v>31</v>
      </c>
      <c r="B10" s="26">
        <f>TCO!J26+TCO!J27</f>
        <v>0</v>
      </c>
      <c r="C10" s="26">
        <f>(TCO!J$12*(1+$W$5))+TCO!J$13</f>
        <v>171600</v>
      </c>
      <c r="D10" s="29">
        <f t="shared" si="1"/>
        <v>171600</v>
      </c>
      <c r="E10" s="27">
        <f>TCO!J22+TCO!J23</f>
        <v>0</v>
      </c>
      <c r="F10" s="26">
        <f>(TCO!J$7*(1+$W$5))+TCO!J$8</f>
        <v>0</v>
      </c>
      <c r="G10" s="29">
        <f t="shared" si="2"/>
        <v>0</v>
      </c>
      <c r="H10" s="26">
        <f>TCO!J24+TCO!J25</f>
        <v>31564.799999999999</v>
      </c>
      <c r="I10" s="26">
        <f>(TCO!J$9*(1+$W$5))+TCO!J$10</f>
        <v>552592.11300000013</v>
      </c>
      <c r="J10" s="29">
        <f t="shared" si="3"/>
        <v>521027.31300000014</v>
      </c>
      <c r="K10" s="27">
        <v>0</v>
      </c>
      <c r="L10" s="27">
        <f>TCO!J11</f>
        <v>0</v>
      </c>
      <c r="M10" s="29">
        <f t="shared" si="4"/>
        <v>0</v>
      </c>
      <c r="N10" s="27">
        <v>0</v>
      </c>
      <c r="O10" s="27">
        <f>TCO!J14</f>
        <v>0</v>
      </c>
      <c r="P10" s="29">
        <f t="shared" si="5"/>
        <v>0</v>
      </c>
      <c r="Q10" s="27">
        <f>'Parametre - Agendové IS'!D133</f>
        <v>0</v>
      </c>
      <c r="R10" s="27">
        <f>'Parametre - Agendové IS'!E133</f>
        <v>0</v>
      </c>
      <c r="S10" s="29">
        <f t="shared" si="0"/>
        <v>0</v>
      </c>
      <c r="T10" s="26">
        <f t="shared" si="6"/>
        <v>31564.799999999999</v>
      </c>
      <c r="U10" s="26">
        <f t="shared" si="7"/>
        <v>724192.11300000013</v>
      </c>
      <c r="V10" s="29">
        <f t="shared" si="8"/>
        <v>692627.31300000008</v>
      </c>
    </row>
    <row r="11" spans="1:23" x14ac:dyDescent="0.3">
      <c r="A11" s="25" t="s">
        <v>32</v>
      </c>
      <c r="B11" s="26">
        <f>TCO!K26+TCO!K27</f>
        <v>0</v>
      </c>
      <c r="C11" s="26">
        <f>(TCO!K$12*(1+$W$5))+TCO!K$13</f>
        <v>0</v>
      </c>
      <c r="D11" s="29">
        <f t="shared" si="1"/>
        <v>0</v>
      </c>
      <c r="E11" s="27">
        <f>TCO!K22+TCO!K23</f>
        <v>0</v>
      </c>
      <c r="F11" s="26">
        <f>(TCO!K$7*(1+$W$5))+TCO!K$8</f>
        <v>0</v>
      </c>
      <c r="G11" s="29">
        <f t="shared" si="2"/>
        <v>0</v>
      </c>
      <c r="H11" s="26">
        <f>TCO!K24+TCO!K25</f>
        <v>31564.799999999999</v>
      </c>
      <c r="I11" s="26">
        <f>(TCO!K$9*(1+$W$5))+TCO!K$10</f>
        <v>552592.11300000013</v>
      </c>
      <c r="J11" s="29">
        <f t="shared" si="3"/>
        <v>521027.31300000014</v>
      </c>
      <c r="K11" s="27">
        <v>0</v>
      </c>
      <c r="L11" s="27">
        <f>TCO!K11</f>
        <v>0</v>
      </c>
      <c r="M11" s="29">
        <f t="shared" si="4"/>
        <v>0</v>
      </c>
      <c r="N11" s="27">
        <v>0</v>
      </c>
      <c r="O11" s="27">
        <f>TCO!K14</f>
        <v>0</v>
      </c>
      <c r="P11" s="29">
        <f t="shared" si="5"/>
        <v>0</v>
      </c>
      <c r="Q11" s="27">
        <f>'Parametre - Agendové IS'!D134</f>
        <v>0</v>
      </c>
      <c r="R11" s="27">
        <f>'Parametre - Agendové IS'!E134</f>
        <v>0</v>
      </c>
      <c r="S11" s="29">
        <f t="shared" si="0"/>
        <v>0</v>
      </c>
      <c r="T11" s="26">
        <f t="shared" si="6"/>
        <v>31564.799999999999</v>
      </c>
      <c r="U11" s="26">
        <f t="shared" si="7"/>
        <v>552592.11300000013</v>
      </c>
      <c r="V11" s="29">
        <f t="shared" si="8"/>
        <v>521027.31300000014</v>
      </c>
    </row>
    <row r="12" spans="1:23" x14ac:dyDescent="0.3">
      <c r="A12" s="25" t="s">
        <v>33</v>
      </c>
      <c r="B12" s="26">
        <f>TCO!L26+TCO!L27</f>
        <v>0</v>
      </c>
      <c r="C12" s="26">
        <f>(TCO!L$12*(1+$W$5))+TCO!L$13</f>
        <v>0</v>
      </c>
      <c r="D12" s="29">
        <f t="shared" si="1"/>
        <v>0</v>
      </c>
      <c r="E12" s="27">
        <f>TCO!L22+TCO!L23</f>
        <v>0</v>
      </c>
      <c r="F12" s="26">
        <f>(TCO!L$7*(1+$W$5))+TCO!L$8</f>
        <v>0</v>
      </c>
      <c r="G12" s="29">
        <f t="shared" si="2"/>
        <v>0</v>
      </c>
      <c r="H12" s="26">
        <f>TCO!L24+TCO!L25</f>
        <v>31564.799999999999</v>
      </c>
      <c r="I12" s="26">
        <f>(TCO!L$9*(1+$W$5))+TCO!L$10</f>
        <v>552592.11300000013</v>
      </c>
      <c r="J12" s="29">
        <f t="shared" si="3"/>
        <v>521027.31300000014</v>
      </c>
      <c r="K12" s="27">
        <v>0</v>
      </c>
      <c r="L12" s="27">
        <f>TCO!L11</f>
        <v>0</v>
      </c>
      <c r="M12" s="29">
        <f t="shared" si="4"/>
        <v>0</v>
      </c>
      <c r="N12" s="27">
        <v>0</v>
      </c>
      <c r="O12" s="27">
        <f>TCO!L14</f>
        <v>0</v>
      </c>
      <c r="P12" s="29">
        <f t="shared" si="5"/>
        <v>0</v>
      </c>
      <c r="Q12" s="27">
        <f>'Parametre - Agendové IS'!D135</f>
        <v>0</v>
      </c>
      <c r="R12" s="27">
        <f>'Parametre - Agendové IS'!E135</f>
        <v>0</v>
      </c>
      <c r="S12" s="29">
        <f t="shared" si="0"/>
        <v>0</v>
      </c>
      <c r="T12" s="26">
        <f t="shared" si="6"/>
        <v>31564.799999999999</v>
      </c>
      <c r="U12" s="26">
        <f t="shared" si="7"/>
        <v>552592.11300000013</v>
      </c>
      <c r="V12" s="29">
        <f t="shared" si="8"/>
        <v>521027.31300000014</v>
      </c>
    </row>
    <row r="13" spans="1:23" ht="15" thickBot="1" x14ac:dyDescent="0.35">
      <c r="A13" s="39" t="s">
        <v>34</v>
      </c>
      <c r="B13" s="43">
        <f>TCO!M26+TCO!M27</f>
        <v>0</v>
      </c>
      <c r="C13" s="43">
        <f>(TCO!M$12*(1+$W$5))+TCO!M$13</f>
        <v>0</v>
      </c>
      <c r="D13" s="133">
        <f t="shared" si="1"/>
        <v>0</v>
      </c>
      <c r="E13" s="47">
        <f>TCO!M22+TCO!M23</f>
        <v>0</v>
      </c>
      <c r="F13" s="43">
        <f>(TCO!M$7*(1+$W$5))+TCO!M$8</f>
        <v>0</v>
      </c>
      <c r="G13" s="133">
        <f t="shared" si="2"/>
        <v>0</v>
      </c>
      <c r="H13" s="43">
        <f>TCO!M24+TCO!M25</f>
        <v>31564.799999999999</v>
      </c>
      <c r="I13" s="43">
        <f>(TCO!M$9*(1+$W$5))+TCO!M$10</f>
        <v>552592.11300000013</v>
      </c>
      <c r="J13" s="133">
        <f t="shared" si="3"/>
        <v>521027.31300000014</v>
      </c>
      <c r="K13" s="47">
        <v>0</v>
      </c>
      <c r="L13" s="47">
        <f>TCO!M11</f>
        <v>0</v>
      </c>
      <c r="M13" s="133">
        <f t="shared" si="4"/>
        <v>0</v>
      </c>
      <c r="N13" s="47">
        <v>0</v>
      </c>
      <c r="O13" s="47">
        <f>TCO!M14</f>
        <v>0</v>
      </c>
      <c r="P13" s="133">
        <f t="shared" si="5"/>
        <v>0</v>
      </c>
      <c r="Q13" s="47">
        <f>'Parametre - Agendové IS'!D136</f>
        <v>0</v>
      </c>
      <c r="R13" s="47">
        <f>'Parametre - Agendové IS'!E136</f>
        <v>0</v>
      </c>
      <c r="S13" s="133">
        <f t="shared" si="0"/>
        <v>0</v>
      </c>
      <c r="T13" s="26">
        <f t="shared" si="6"/>
        <v>31564.799999999999</v>
      </c>
      <c r="U13" s="26">
        <f t="shared" si="7"/>
        <v>552592.11300000013</v>
      </c>
      <c r="V13" s="133">
        <f t="shared" si="8"/>
        <v>521027.31300000014</v>
      </c>
    </row>
    <row r="14" spans="1:23" x14ac:dyDescent="0.3">
      <c r="A14" s="468" t="s">
        <v>103</v>
      </c>
      <c r="B14" s="459">
        <f>SUM(B4:B13)</f>
        <v>0</v>
      </c>
      <c r="C14" s="457">
        <f t="shared" ref="C14:S14" si="9">SUM(C4:C13)</f>
        <v>471744</v>
      </c>
      <c r="D14" s="456">
        <f t="shared" si="9"/>
        <v>471744</v>
      </c>
      <c r="E14" s="459">
        <f t="shared" si="9"/>
        <v>0</v>
      </c>
      <c r="F14" s="457">
        <f t="shared" si="9"/>
        <v>0</v>
      </c>
      <c r="G14" s="456">
        <f t="shared" si="9"/>
        <v>0</v>
      </c>
      <c r="H14" s="459">
        <f t="shared" si="9"/>
        <v>315647.99999999994</v>
      </c>
      <c r="I14" s="457">
        <f t="shared" si="9"/>
        <v>12565619.628000002</v>
      </c>
      <c r="J14" s="456">
        <f t="shared" si="9"/>
        <v>12249971.62800001</v>
      </c>
      <c r="K14" s="459">
        <f t="shared" ref="K14:P14" si="10">SUM(K4:K13)</f>
        <v>0</v>
      </c>
      <c r="L14" s="457">
        <f t="shared" si="10"/>
        <v>0</v>
      </c>
      <c r="M14" s="456">
        <f t="shared" si="10"/>
        <v>0</v>
      </c>
      <c r="N14" s="459">
        <f t="shared" si="10"/>
        <v>0</v>
      </c>
      <c r="O14" s="457">
        <f t="shared" si="10"/>
        <v>611335.68322580645</v>
      </c>
      <c r="P14" s="456">
        <f t="shared" si="10"/>
        <v>611335.68322580645</v>
      </c>
      <c r="Q14" s="459">
        <f t="shared" si="9"/>
        <v>0</v>
      </c>
      <c r="R14" s="457">
        <f t="shared" si="9"/>
        <v>0</v>
      </c>
      <c r="S14" s="456">
        <f t="shared" si="9"/>
        <v>0</v>
      </c>
      <c r="T14" s="469">
        <f>SUM(T4:T13)</f>
        <v>315647.99999999994</v>
      </c>
      <c r="U14" s="470">
        <f>SUM(U4:U13)</f>
        <v>13648699.311225809</v>
      </c>
      <c r="V14" s="471">
        <f>SUM(V4:V13)</f>
        <v>13333051.311225817</v>
      </c>
    </row>
    <row r="15" spans="1:23" ht="15" thickBot="1" x14ac:dyDescent="0.35">
      <c r="A15" s="468" t="s">
        <v>151</v>
      </c>
      <c r="B15" s="467"/>
      <c r="C15" s="465"/>
      <c r="D15" s="463">
        <f>D4+NPV(Faktory!$D$5,D5:D13)</f>
        <v>428194.56206284527</v>
      </c>
      <c r="E15" s="467"/>
      <c r="F15" s="465"/>
      <c r="G15" s="463">
        <f>G4+NPV(Faktory!$D$5,G5:G13)</f>
        <v>0</v>
      </c>
      <c r="H15" s="467"/>
      <c r="I15" s="465"/>
      <c r="J15" s="463">
        <f>J4+NPV(Faktory!$D$5,J5:J13)</f>
        <v>11044784.320943981</v>
      </c>
      <c r="K15" s="467"/>
      <c r="L15" s="465"/>
      <c r="M15" s="463">
        <f>M4+NPV(Faktory!$D$5,M5:M13)</f>
        <v>0</v>
      </c>
      <c r="N15" s="467"/>
      <c r="O15" s="465"/>
      <c r="P15" s="463">
        <f>P4+NPV(Faktory!$D$5,P5:P13)</f>
        <v>596780.07172043016</v>
      </c>
      <c r="Q15" s="467"/>
      <c r="R15" s="465"/>
      <c r="S15" s="463">
        <f>S4+NPV(Faktory!$D$5,S5:S13)</f>
        <v>0</v>
      </c>
      <c r="T15" s="472"/>
      <c r="U15" s="473"/>
      <c r="V15" s="474">
        <f>V4+NPV(Faktory!$D$5,V5:V13)</f>
        <v>12069758.954727255</v>
      </c>
    </row>
    <row r="16" spans="1:23" x14ac:dyDescent="0.3">
      <c r="A16" s="7"/>
      <c r="B16" s="7"/>
      <c r="C16" s="7"/>
      <c r="D16" s="125"/>
      <c r="E16" s="7"/>
      <c r="F16" s="7"/>
      <c r="G16" s="125"/>
      <c r="H16" s="7"/>
      <c r="I16" s="7"/>
      <c r="J16" s="125"/>
      <c r="K16" s="125"/>
      <c r="L16" s="125"/>
      <c r="M16" s="125"/>
      <c r="N16" s="125"/>
      <c r="O16" s="125"/>
      <c r="P16" s="125"/>
      <c r="Q16" s="7"/>
      <c r="R16" s="7"/>
      <c r="S16" s="125"/>
      <c r="T16" s="134"/>
      <c r="U16" s="134"/>
      <c r="V16" s="134"/>
    </row>
    <row r="17" spans="1:2" x14ac:dyDescent="0.3">
      <c r="A17" s="7"/>
      <c r="B17" s="101" t="s">
        <v>160</v>
      </c>
    </row>
    <row r="22" spans="1:2" x14ac:dyDescent="0.3">
      <c r="B22" s="135"/>
    </row>
  </sheetData>
  <mergeCells count="10">
    <mergeCell ref="Q1:S1"/>
    <mergeCell ref="T1:V1"/>
    <mergeCell ref="B2:D2"/>
    <mergeCell ref="E2:G2"/>
    <mergeCell ref="H2:J2"/>
    <mergeCell ref="Q2:S2"/>
    <mergeCell ref="N1:P1"/>
    <mergeCell ref="N2:P2"/>
    <mergeCell ref="K2:M2"/>
    <mergeCell ref="B1:M1"/>
  </mergeCells>
  <pageMargins left="0.70866141732283472" right="0.70866141732283472" top="0.74803149606299213" bottom="0.74803149606299213" header="0.31496062992125984" footer="0.31496062992125984"/>
  <pageSetup paperSize="9" scale="3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S166"/>
  <sheetViews>
    <sheetView showGridLines="0" zoomScale="60" zoomScaleNormal="60" workbookViewId="0">
      <pane xSplit="2" ySplit="5" topLeftCell="C18" activePane="bottomRight" state="frozen"/>
      <selection pane="topRight" activeCell="C1" sqref="C1"/>
      <selection pane="bottomLeft" activeCell="A6" sqref="A6"/>
      <selection pane="bottomRight" activeCell="H18" sqref="H18"/>
    </sheetView>
  </sheetViews>
  <sheetFormatPr defaultColWidth="9.109375" defaultRowHeight="14.4" x14ac:dyDescent="0.3"/>
  <cols>
    <col min="1" max="1" width="30.44140625" style="7" customWidth="1"/>
    <col min="2" max="2" width="9.88671875" style="7" bestFit="1" customWidth="1"/>
    <col min="3" max="3" width="8.88671875" style="7" bestFit="1" customWidth="1"/>
    <col min="4" max="4" width="14.44140625" style="7" bestFit="1" customWidth="1"/>
    <col min="5" max="5" width="15.6640625" style="7" bestFit="1" customWidth="1"/>
    <col min="6" max="6" width="14.44140625" style="7" bestFit="1" customWidth="1"/>
    <col min="7" max="7" width="12.5546875" style="7" customWidth="1"/>
    <col min="8" max="8" width="12" style="391" customWidth="1"/>
    <col min="9" max="9" width="12" style="7" customWidth="1"/>
    <col min="10" max="10" width="11.33203125" style="7" customWidth="1"/>
    <col min="11" max="11" width="11.33203125" style="7" bestFit="1" customWidth="1"/>
    <col min="12" max="12" width="8.6640625" style="7" bestFit="1" customWidth="1"/>
    <col min="13" max="13" width="10.109375" style="392" customWidth="1"/>
    <col min="14" max="14" width="11.88671875" style="391" customWidth="1"/>
    <col min="15" max="15" width="8.6640625" style="7" bestFit="1" customWidth="1"/>
    <col min="16" max="16" width="8.109375" style="392" customWidth="1"/>
    <col min="17" max="17" width="9.6640625" style="391" bestFit="1" customWidth="1"/>
    <col min="18" max="18" width="8.109375" style="7" customWidth="1"/>
    <col min="19" max="19" width="14.6640625" style="279" customWidth="1"/>
    <col min="20" max="22" width="9.109375" style="7"/>
    <col min="23" max="23" width="12.44140625" style="7" bestFit="1" customWidth="1"/>
    <col min="24" max="258" width="9.109375" style="7"/>
    <col min="259" max="259" width="1.6640625" style="7" customWidth="1"/>
    <col min="260" max="260" width="19.109375" style="7" customWidth="1"/>
    <col min="261" max="261" width="35.109375" style="7" customWidth="1"/>
    <col min="262" max="262" width="9.88671875" style="7" bestFit="1" customWidth="1"/>
    <col min="263" max="263" width="8.88671875" style="7" bestFit="1" customWidth="1"/>
    <col min="264" max="274" width="10.33203125" style="7" customWidth="1"/>
    <col min="275" max="514" width="9.109375" style="7"/>
    <col min="515" max="515" width="1.6640625" style="7" customWidth="1"/>
    <col min="516" max="516" width="19.109375" style="7" customWidth="1"/>
    <col min="517" max="517" width="35.109375" style="7" customWidth="1"/>
    <col min="518" max="518" width="9.88671875" style="7" bestFit="1" customWidth="1"/>
    <col min="519" max="519" width="8.88671875" style="7" bestFit="1" customWidth="1"/>
    <col min="520" max="530" width="10.33203125" style="7" customWidth="1"/>
    <col min="531" max="770" width="9.109375" style="7"/>
    <col min="771" max="771" width="1.6640625" style="7" customWidth="1"/>
    <col min="772" max="772" width="19.109375" style="7" customWidth="1"/>
    <col min="773" max="773" width="35.109375" style="7" customWidth="1"/>
    <col min="774" max="774" width="9.88671875" style="7" bestFit="1" customWidth="1"/>
    <col min="775" max="775" width="8.88671875" style="7" bestFit="1" customWidth="1"/>
    <col min="776" max="786" width="10.33203125" style="7" customWidth="1"/>
    <col min="787" max="1026" width="9.109375" style="7"/>
    <col min="1027" max="1027" width="1.6640625" style="7" customWidth="1"/>
    <col min="1028" max="1028" width="19.109375" style="7" customWidth="1"/>
    <col min="1029" max="1029" width="35.109375" style="7" customWidth="1"/>
    <col min="1030" max="1030" width="9.88671875" style="7" bestFit="1" customWidth="1"/>
    <col min="1031" max="1031" width="8.88671875" style="7" bestFit="1" customWidth="1"/>
    <col min="1032" max="1042" width="10.33203125" style="7" customWidth="1"/>
    <col min="1043" max="1282" width="9.109375" style="7"/>
    <col min="1283" max="1283" width="1.6640625" style="7" customWidth="1"/>
    <col min="1284" max="1284" width="19.109375" style="7" customWidth="1"/>
    <col min="1285" max="1285" width="35.109375" style="7" customWidth="1"/>
    <col min="1286" max="1286" width="9.88671875" style="7" bestFit="1" customWidth="1"/>
    <col min="1287" max="1287" width="8.88671875" style="7" bestFit="1" customWidth="1"/>
    <col min="1288" max="1298" width="10.33203125" style="7" customWidth="1"/>
    <col min="1299" max="1538" width="9.109375" style="7"/>
    <col min="1539" max="1539" width="1.6640625" style="7" customWidth="1"/>
    <col min="1540" max="1540" width="19.109375" style="7" customWidth="1"/>
    <col min="1541" max="1541" width="35.109375" style="7" customWidth="1"/>
    <col min="1542" max="1542" width="9.88671875" style="7" bestFit="1" customWidth="1"/>
    <col min="1543" max="1543" width="8.88671875" style="7" bestFit="1" customWidth="1"/>
    <col min="1544" max="1554" width="10.33203125" style="7" customWidth="1"/>
    <col min="1555" max="1794" width="9.109375" style="7"/>
    <col min="1795" max="1795" width="1.6640625" style="7" customWidth="1"/>
    <col min="1796" max="1796" width="19.109375" style="7" customWidth="1"/>
    <col min="1797" max="1797" width="35.109375" style="7" customWidth="1"/>
    <col min="1798" max="1798" width="9.88671875" style="7" bestFit="1" customWidth="1"/>
    <col min="1799" max="1799" width="8.88671875" style="7" bestFit="1" customWidth="1"/>
    <col min="1800" max="1810" width="10.33203125" style="7" customWidth="1"/>
    <col min="1811" max="2050" width="9.109375" style="7"/>
    <col min="2051" max="2051" width="1.6640625" style="7" customWidth="1"/>
    <col min="2052" max="2052" width="19.109375" style="7" customWidth="1"/>
    <col min="2053" max="2053" width="35.109375" style="7" customWidth="1"/>
    <col min="2054" max="2054" width="9.88671875" style="7" bestFit="1" customWidth="1"/>
    <col min="2055" max="2055" width="8.88671875" style="7" bestFit="1" customWidth="1"/>
    <col min="2056" max="2066" width="10.33203125" style="7" customWidth="1"/>
    <col min="2067" max="2306" width="9.109375" style="7"/>
    <col min="2307" max="2307" width="1.6640625" style="7" customWidth="1"/>
    <col min="2308" max="2308" width="19.109375" style="7" customWidth="1"/>
    <col min="2309" max="2309" width="35.109375" style="7" customWidth="1"/>
    <col min="2310" max="2310" width="9.88671875" style="7" bestFit="1" customWidth="1"/>
    <col min="2311" max="2311" width="8.88671875" style="7" bestFit="1" customWidth="1"/>
    <col min="2312" max="2322" width="10.33203125" style="7" customWidth="1"/>
    <col min="2323" max="2562" width="9.109375" style="7"/>
    <col min="2563" max="2563" width="1.6640625" style="7" customWidth="1"/>
    <col min="2564" max="2564" width="19.109375" style="7" customWidth="1"/>
    <col min="2565" max="2565" width="35.109375" style="7" customWidth="1"/>
    <col min="2566" max="2566" width="9.88671875" style="7" bestFit="1" customWidth="1"/>
    <col min="2567" max="2567" width="8.88671875" style="7" bestFit="1" customWidth="1"/>
    <col min="2568" max="2578" width="10.33203125" style="7" customWidth="1"/>
    <col min="2579" max="2818" width="9.109375" style="7"/>
    <col min="2819" max="2819" width="1.6640625" style="7" customWidth="1"/>
    <col min="2820" max="2820" width="19.109375" style="7" customWidth="1"/>
    <col min="2821" max="2821" width="35.109375" style="7" customWidth="1"/>
    <col min="2822" max="2822" width="9.88671875" style="7" bestFit="1" customWidth="1"/>
    <col min="2823" max="2823" width="8.88671875" style="7" bestFit="1" customWidth="1"/>
    <col min="2824" max="2834" width="10.33203125" style="7" customWidth="1"/>
    <col min="2835" max="3074" width="9.109375" style="7"/>
    <col min="3075" max="3075" width="1.6640625" style="7" customWidth="1"/>
    <col min="3076" max="3076" width="19.109375" style="7" customWidth="1"/>
    <col min="3077" max="3077" width="35.109375" style="7" customWidth="1"/>
    <col min="3078" max="3078" width="9.88671875" style="7" bestFit="1" customWidth="1"/>
    <col min="3079" max="3079" width="8.88671875" style="7" bestFit="1" customWidth="1"/>
    <col min="3080" max="3090" width="10.33203125" style="7" customWidth="1"/>
    <col min="3091" max="3330" width="9.109375" style="7"/>
    <col min="3331" max="3331" width="1.6640625" style="7" customWidth="1"/>
    <col min="3332" max="3332" width="19.109375" style="7" customWidth="1"/>
    <col min="3333" max="3333" width="35.109375" style="7" customWidth="1"/>
    <col min="3334" max="3334" width="9.88671875" style="7" bestFit="1" customWidth="1"/>
    <col min="3335" max="3335" width="8.88671875" style="7" bestFit="1" customWidth="1"/>
    <col min="3336" max="3346" width="10.33203125" style="7" customWidth="1"/>
    <col min="3347" max="3586" width="9.109375" style="7"/>
    <col min="3587" max="3587" width="1.6640625" style="7" customWidth="1"/>
    <col min="3588" max="3588" width="19.109375" style="7" customWidth="1"/>
    <col min="3589" max="3589" width="35.109375" style="7" customWidth="1"/>
    <col min="3590" max="3590" width="9.88671875" style="7" bestFit="1" customWidth="1"/>
    <col min="3591" max="3591" width="8.88671875" style="7" bestFit="1" customWidth="1"/>
    <col min="3592" max="3602" width="10.33203125" style="7" customWidth="1"/>
    <col min="3603" max="3842" width="9.109375" style="7"/>
    <col min="3843" max="3843" width="1.6640625" style="7" customWidth="1"/>
    <col min="3844" max="3844" width="19.109375" style="7" customWidth="1"/>
    <col min="3845" max="3845" width="35.109375" style="7" customWidth="1"/>
    <col min="3846" max="3846" width="9.88671875" style="7" bestFit="1" customWidth="1"/>
    <col min="3847" max="3847" width="8.88671875" style="7" bestFit="1" customWidth="1"/>
    <col min="3848" max="3858" width="10.33203125" style="7" customWidth="1"/>
    <col min="3859" max="4098" width="9.109375" style="7"/>
    <col min="4099" max="4099" width="1.6640625" style="7" customWidth="1"/>
    <col min="4100" max="4100" width="19.109375" style="7" customWidth="1"/>
    <col min="4101" max="4101" width="35.109375" style="7" customWidth="1"/>
    <col min="4102" max="4102" width="9.88671875" style="7" bestFit="1" customWidth="1"/>
    <col min="4103" max="4103" width="8.88671875" style="7" bestFit="1" customWidth="1"/>
    <col min="4104" max="4114" width="10.33203125" style="7" customWidth="1"/>
    <col min="4115" max="4354" width="9.109375" style="7"/>
    <col min="4355" max="4355" width="1.6640625" style="7" customWidth="1"/>
    <col min="4356" max="4356" width="19.109375" style="7" customWidth="1"/>
    <col min="4357" max="4357" width="35.109375" style="7" customWidth="1"/>
    <col min="4358" max="4358" width="9.88671875" style="7" bestFit="1" customWidth="1"/>
    <col min="4359" max="4359" width="8.88671875" style="7" bestFit="1" customWidth="1"/>
    <col min="4360" max="4370" width="10.33203125" style="7" customWidth="1"/>
    <col min="4371" max="4610" width="9.109375" style="7"/>
    <col min="4611" max="4611" width="1.6640625" style="7" customWidth="1"/>
    <col min="4612" max="4612" width="19.109375" style="7" customWidth="1"/>
    <col min="4613" max="4613" width="35.109375" style="7" customWidth="1"/>
    <col min="4614" max="4614" width="9.88671875" style="7" bestFit="1" customWidth="1"/>
    <col min="4615" max="4615" width="8.88671875" style="7" bestFit="1" customWidth="1"/>
    <col min="4616" max="4626" width="10.33203125" style="7" customWidth="1"/>
    <col min="4627" max="4866" width="9.109375" style="7"/>
    <col min="4867" max="4867" width="1.6640625" style="7" customWidth="1"/>
    <col min="4868" max="4868" width="19.109375" style="7" customWidth="1"/>
    <col min="4869" max="4869" width="35.109375" style="7" customWidth="1"/>
    <col min="4870" max="4870" width="9.88671875" style="7" bestFit="1" customWidth="1"/>
    <col min="4871" max="4871" width="8.88671875" style="7" bestFit="1" customWidth="1"/>
    <col min="4872" max="4882" width="10.33203125" style="7" customWidth="1"/>
    <col min="4883" max="5122" width="9.109375" style="7"/>
    <col min="5123" max="5123" width="1.6640625" style="7" customWidth="1"/>
    <col min="5124" max="5124" width="19.109375" style="7" customWidth="1"/>
    <col min="5125" max="5125" width="35.109375" style="7" customWidth="1"/>
    <col min="5126" max="5126" width="9.88671875" style="7" bestFit="1" customWidth="1"/>
    <col min="5127" max="5127" width="8.88671875" style="7" bestFit="1" customWidth="1"/>
    <col min="5128" max="5138" width="10.33203125" style="7" customWidth="1"/>
    <col min="5139" max="5378" width="9.109375" style="7"/>
    <col min="5379" max="5379" width="1.6640625" style="7" customWidth="1"/>
    <col min="5380" max="5380" width="19.109375" style="7" customWidth="1"/>
    <col min="5381" max="5381" width="35.109375" style="7" customWidth="1"/>
    <col min="5382" max="5382" width="9.88671875" style="7" bestFit="1" customWidth="1"/>
    <col min="5383" max="5383" width="8.88671875" style="7" bestFit="1" customWidth="1"/>
    <col min="5384" max="5394" width="10.33203125" style="7" customWidth="1"/>
    <col min="5395" max="5634" width="9.109375" style="7"/>
    <col min="5635" max="5635" width="1.6640625" style="7" customWidth="1"/>
    <col min="5636" max="5636" width="19.109375" style="7" customWidth="1"/>
    <col min="5637" max="5637" width="35.109375" style="7" customWidth="1"/>
    <col min="5638" max="5638" width="9.88671875" style="7" bestFit="1" customWidth="1"/>
    <col min="5639" max="5639" width="8.88671875" style="7" bestFit="1" customWidth="1"/>
    <col min="5640" max="5650" width="10.33203125" style="7" customWidth="1"/>
    <col min="5651" max="5890" width="9.109375" style="7"/>
    <col min="5891" max="5891" width="1.6640625" style="7" customWidth="1"/>
    <col min="5892" max="5892" width="19.109375" style="7" customWidth="1"/>
    <col min="5893" max="5893" width="35.109375" style="7" customWidth="1"/>
    <col min="5894" max="5894" width="9.88671875" style="7" bestFit="1" customWidth="1"/>
    <col min="5895" max="5895" width="8.88671875" style="7" bestFit="1" customWidth="1"/>
    <col min="5896" max="5906" width="10.33203125" style="7" customWidth="1"/>
    <col min="5907" max="6146" width="9.109375" style="7"/>
    <col min="6147" max="6147" width="1.6640625" style="7" customWidth="1"/>
    <col min="6148" max="6148" width="19.109375" style="7" customWidth="1"/>
    <col min="6149" max="6149" width="35.109375" style="7" customWidth="1"/>
    <col min="6150" max="6150" width="9.88671875" style="7" bestFit="1" customWidth="1"/>
    <col min="6151" max="6151" width="8.88671875" style="7" bestFit="1" customWidth="1"/>
    <col min="6152" max="6162" width="10.33203125" style="7" customWidth="1"/>
    <col min="6163" max="6402" width="9.109375" style="7"/>
    <col min="6403" max="6403" width="1.6640625" style="7" customWidth="1"/>
    <col min="6404" max="6404" width="19.109375" style="7" customWidth="1"/>
    <col min="6405" max="6405" width="35.109375" style="7" customWidth="1"/>
    <col min="6406" max="6406" width="9.88671875" style="7" bestFit="1" customWidth="1"/>
    <col min="6407" max="6407" width="8.88671875" style="7" bestFit="1" customWidth="1"/>
    <col min="6408" max="6418" width="10.33203125" style="7" customWidth="1"/>
    <col min="6419" max="6658" width="9.109375" style="7"/>
    <col min="6659" max="6659" width="1.6640625" style="7" customWidth="1"/>
    <col min="6660" max="6660" width="19.109375" style="7" customWidth="1"/>
    <col min="6661" max="6661" width="35.109375" style="7" customWidth="1"/>
    <col min="6662" max="6662" width="9.88671875" style="7" bestFit="1" customWidth="1"/>
    <col min="6663" max="6663" width="8.88671875" style="7" bestFit="1" customWidth="1"/>
    <col min="6664" max="6674" width="10.33203125" style="7" customWidth="1"/>
    <col min="6675" max="6914" width="9.109375" style="7"/>
    <col min="6915" max="6915" width="1.6640625" style="7" customWidth="1"/>
    <col min="6916" max="6916" width="19.109375" style="7" customWidth="1"/>
    <col min="6917" max="6917" width="35.109375" style="7" customWidth="1"/>
    <col min="6918" max="6918" width="9.88671875" style="7" bestFit="1" customWidth="1"/>
    <col min="6919" max="6919" width="8.88671875" style="7" bestFit="1" customWidth="1"/>
    <col min="6920" max="6930" width="10.33203125" style="7" customWidth="1"/>
    <col min="6931" max="7170" width="9.109375" style="7"/>
    <col min="7171" max="7171" width="1.6640625" style="7" customWidth="1"/>
    <col min="7172" max="7172" width="19.109375" style="7" customWidth="1"/>
    <col min="7173" max="7173" width="35.109375" style="7" customWidth="1"/>
    <col min="7174" max="7174" width="9.88671875" style="7" bestFit="1" customWidth="1"/>
    <col min="7175" max="7175" width="8.88671875" style="7" bestFit="1" customWidth="1"/>
    <col min="7176" max="7186" width="10.33203125" style="7" customWidth="1"/>
    <col min="7187" max="7426" width="9.109375" style="7"/>
    <col min="7427" max="7427" width="1.6640625" style="7" customWidth="1"/>
    <col min="7428" max="7428" width="19.109375" style="7" customWidth="1"/>
    <col min="7429" max="7429" width="35.109375" style="7" customWidth="1"/>
    <col min="7430" max="7430" width="9.88671875" style="7" bestFit="1" customWidth="1"/>
    <col min="7431" max="7431" width="8.88671875" style="7" bestFit="1" customWidth="1"/>
    <col min="7432" max="7442" width="10.33203125" style="7" customWidth="1"/>
    <col min="7443" max="7682" width="9.109375" style="7"/>
    <col min="7683" max="7683" width="1.6640625" style="7" customWidth="1"/>
    <col min="7684" max="7684" width="19.109375" style="7" customWidth="1"/>
    <col min="7685" max="7685" width="35.109375" style="7" customWidth="1"/>
    <col min="7686" max="7686" width="9.88671875" style="7" bestFit="1" customWidth="1"/>
    <col min="7687" max="7687" width="8.88671875" style="7" bestFit="1" customWidth="1"/>
    <col min="7688" max="7698" width="10.33203125" style="7" customWidth="1"/>
    <col min="7699" max="7938" width="9.109375" style="7"/>
    <col min="7939" max="7939" width="1.6640625" style="7" customWidth="1"/>
    <col min="7940" max="7940" width="19.109375" style="7" customWidth="1"/>
    <col min="7941" max="7941" width="35.109375" style="7" customWidth="1"/>
    <col min="7942" max="7942" width="9.88671875" style="7" bestFit="1" customWidth="1"/>
    <col min="7943" max="7943" width="8.88671875" style="7" bestFit="1" customWidth="1"/>
    <col min="7944" max="7954" width="10.33203125" style="7" customWidth="1"/>
    <col min="7955" max="8194" width="9.109375" style="7"/>
    <col min="8195" max="8195" width="1.6640625" style="7" customWidth="1"/>
    <col min="8196" max="8196" width="19.109375" style="7" customWidth="1"/>
    <col min="8197" max="8197" width="35.109375" style="7" customWidth="1"/>
    <col min="8198" max="8198" width="9.88671875" style="7" bestFit="1" customWidth="1"/>
    <col min="8199" max="8199" width="8.88671875" style="7" bestFit="1" customWidth="1"/>
    <col min="8200" max="8210" width="10.33203125" style="7" customWidth="1"/>
    <col min="8211" max="8450" width="9.109375" style="7"/>
    <col min="8451" max="8451" width="1.6640625" style="7" customWidth="1"/>
    <col min="8452" max="8452" width="19.109375" style="7" customWidth="1"/>
    <col min="8453" max="8453" width="35.109375" style="7" customWidth="1"/>
    <col min="8454" max="8454" width="9.88671875" style="7" bestFit="1" customWidth="1"/>
    <col min="8455" max="8455" width="8.88671875" style="7" bestFit="1" customWidth="1"/>
    <col min="8456" max="8466" width="10.33203125" style="7" customWidth="1"/>
    <col min="8467" max="8706" width="9.109375" style="7"/>
    <col min="8707" max="8707" width="1.6640625" style="7" customWidth="1"/>
    <col min="8708" max="8708" width="19.109375" style="7" customWidth="1"/>
    <col min="8709" max="8709" width="35.109375" style="7" customWidth="1"/>
    <col min="8710" max="8710" width="9.88671875" style="7" bestFit="1" customWidth="1"/>
    <col min="8711" max="8711" width="8.88671875" style="7" bestFit="1" customWidth="1"/>
    <col min="8712" max="8722" width="10.33203125" style="7" customWidth="1"/>
    <col min="8723" max="8962" width="9.109375" style="7"/>
    <col min="8963" max="8963" width="1.6640625" style="7" customWidth="1"/>
    <col min="8964" max="8964" width="19.109375" style="7" customWidth="1"/>
    <col min="8965" max="8965" width="35.109375" style="7" customWidth="1"/>
    <col min="8966" max="8966" width="9.88671875" style="7" bestFit="1" customWidth="1"/>
    <col min="8967" max="8967" width="8.88671875" style="7" bestFit="1" customWidth="1"/>
    <col min="8968" max="8978" width="10.33203125" style="7" customWidth="1"/>
    <col min="8979" max="9218" width="9.109375" style="7"/>
    <col min="9219" max="9219" width="1.6640625" style="7" customWidth="1"/>
    <col min="9220" max="9220" width="19.109375" style="7" customWidth="1"/>
    <col min="9221" max="9221" width="35.109375" style="7" customWidth="1"/>
    <col min="9222" max="9222" width="9.88671875" style="7" bestFit="1" customWidth="1"/>
    <col min="9223" max="9223" width="8.88671875" style="7" bestFit="1" customWidth="1"/>
    <col min="9224" max="9234" width="10.33203125" style="7" customWidth="1"/>
    <col min="9235" max="9474" width="9.109375" style="7"/>
    <col min="9475" max="9475" width="1.6640625" style="7" customWidth="1"/>
    <col min="9476" max="9476" width="19.109375" style="7" customWidth="1"/>
    <col min="9477" max="9477" width="35.109375" style="7" customWidth="1"/>
    <col min="9478" max="9478" width="9.88671875" style="7" bestFit="1" customWidth="1"/>
    <col min="9479" max="9479" width="8.88671875" style="7" bestFit="1" customWidth="1"/>
    <col min="9480" max="9490" width="10.33203125" style="7" customWidth="1"/>
    <col min="9491" max="9730" width="9.109375" style="7"/>
    <col min="9731" max="9731" width="1.6640625" style="7" customWidth="1"/>
    <col min="9732" max="9732" width="19.109375" style="7" customWidth="1"/>
    <col min="9733" max="9733" width="35.109375" style="7" customWidth="1"/>
    <col min="9734" max="9734" width="9.88671875" style="7" bestFit="1" customWidth="1"/>
    <col min="9735" max="9735" width="8.88671875" style="7" bestFit="1" customWidth="1"/>
    <col min="9736" max="9746" width="10.33203125" style="7" customWidth="1"/>
    <col min="9747" max="9986" width="9.109375" style="7"/>
    <col min="9987" max="9987" width="1.6640625" style="7" customWidth="1"/>
    <col min="9988" max="9988" width="19.109375" style="7" customWidth="1"/>
    <col min="9989" max="9989" width="35.109375" style="7" customWidth="1"/>
    <col min="9990" max="9990" width="9.88671875" style="7" bestFit="1" customWidth="1"/>
    <col min="9991" max="9991" width="8.88671875" style="7" bestFit="1" customWidth="1"/>
    <col min="9992" max="10002" width="10.33203125" style="7" customWidth="1"/>
    <col min="10003" max="10242" width="9.109375" style="7"/>
    <col min="10243" max="10243" width="1.6640625" style="7" customWidth="1"/>
    <col min="10244" max="10244" width="19.109375" style="7" customWidth="1"/>
    <col min="10245" max="10245" width="35.109375" style="7" customWidth="1"/>
    <col min="10246" max="10246" width="9.88671875" style="7" bestFit="1" customWidth="1"/>
    <col min="10247" max="10247" width="8.88671875" style="7" bestFit="1" customWidth="1"/>
    <col min="10248" max="10258" width="10.33203125" style="7" customWidth="1"/>
    <col min="10259" max="10498" width="9.109375" style="7"/>
    <col min="10499" max="10499" width="1.6640625" style="7" customWidth="1"/>
    <col min="10500" max="10500" width="19.109375" style="7" customWidth="1"/>
    <col min="10501" max="10501" width="35.109375" style="7" customWidth="1"/>
    <col min="10502" max="10502" width="9.88671875" style="7" bestFit="1" customWidth="1"/>
    <col min="10503" max="10503" width="8.88671875" style="7" bestFit="1" customWidth="1"/>
    <col min="10504" max="10514" width="10.33203125" style="7" customWidth="1"/>
    <col min="10515" max="10754" width="9.109375" style="7"/>
    <col min="10755" max="10755" width="1.6640625" style="7" customWidth="1"/>
    <col min="10756" max="10756" width="19.109375" style="7" customWidth="1"/>
    <col min="10757" max="10757" width="35.109375" style="7" customWidth="1"/>
    <col min="10758" max="10758" width="9.88671875" style="7" bestFit="1" customWidth="1"/>
    <col min="10759" max="10759" width="8.88671875" style="7" bestFit="1" customWidth="1"/>
    <col min="10760" max="10770" width="10.33203125" style="7" customWidth="1"/>
    <col min="10771" max="11010" width="9.109375" style="7"/>
    <col min="11011" max="11011" width="1.6640625" style="7" customWidth="1"/>
    <col min="11012" max="11012" width="19.109375" style="7" customWidth="1"/>
    <col min="11013" max="11013" width="35.109375" style="7" customWidth="1"/>
    <col min="11014" max="11014" width="9.88671875" style="7" bestFit="1" customWidth="1"/>
    <col min="11015" max="11015" width="8.88671875" style="7" bestFit="1" customWidth="1"/>
    <col min="11016" max="11026" width="10.33203125" style="7" customWidth="1"/>
    <col min="11027" max="11266" width="9.109375" style="7"/>
    <col min="11267" max="11267" width="1.6640625" style="7" customWidth="1"/>
    <col min="11268" max="11268" width="19.109375" style="7" customWidth="1"/>
    <col min="11269" max="11269" width="35.109375" style="7" customWidth="1"/>
    <col min="11270" max="11270" width="9.88671875" style="7" bestFit="1" customWidth="1"/>
    <col min="11271" max="11271" width="8.88671875" style="7" bestFit="1" customWidth="1"/>
    <col min="11272" max="11282" width="10.33203125" style="7" customWidth="1"/>
    <col min="11283" max="11522" width="9.109375" style="7"/>
    <col min="11523" max="11523" width="1.6640625" style="7" customWidth="1"/>
    <col min="11524" max="11524" width="19.109375" style="7" customWidth="1"/>
    <col min="11525" max="11525" width="35.109375" style="7" customWidth="1"/>
    <col min="11526" max="11526" width="9.88671875" style="7" bestFit="1" customWidth="1"/>
    <col min="11527" max="11527" width="8.88671875" style="7" bestFit="1" customWidth="1"/>
    <col min="11528" max="11538" width="10.33203125" style="7" customWidth="1"/>
    <col min="11539" max="11778" width="9.109375" style="7"/>
    <col min="11779" max="11779" width="1.6640625" style="7" customWidth="1"/>
    <col min="11780" max="11780" width="19.109375" style="7" customWidth="1"/>
    <col min="11781" max="11781" width="35.109375" style="7" customWidth="1"/>
    <col min="11782" max="11782" width="9.88671875" style="7" bestFit="1" customWidth="1"/>
    <col min="11783" max="11783" width="8.88671875" style="7" bestFit="1" customWidth="1"/>
    <col min="11784" max="11794" width="10.33203125" style="7" customWidth="1"/>
    <col min="11795" max="12034" width="9.109375" style="7"/>
    <col min="12035" max="12035" width="1.6640625" style="7" customWidth="1"/>
    <col min="12036" max="12036" width="19.109375" style="7" customWidth="1"/>
    <col min="12037" max="12037" width="35.109375" style="7" customWidth="1"/>
    <col min="12038" max="12038" width="9.88671875" style="7" bestFit="1" customWidth="1"/>
    <col min="12039" max="12039" width="8.88671875" style="7" bestFit="1" customWidth="1"/>
    <col min="12040" max="12050" width="10.33203125" style="7" customWidth="1"/>
    <col min="12051" max="12290" width="9.109375" style="7"/>
    <col min="12291" max="12291" width="1.6640625" style="7" customWidth="1"/>
    <col min="12292" max="12292" width="19.109375" style="7" customWidth="1"/>
    <col min="12293" max="12293" width="35.109375" style="7" customWidth="1"/>
    <col min="12294" max="12294" width="9.88671875" style="7" bestFit="1" customWidth="1"/>
    <col min="12295" max="12295" width="8.88671875" style="7" bestFit="1" customWidth="1"/>
    <col min="12296" max="12306" width="10.33203125" style="7" customWidth="1"/>
    <col min="12307" max="12546" width="9.109375" style="7"/>
    <col min="12547" max="12547" width="1.6640625" style="7" customWidth="1"/>
    <col min="12548" max="12548" width="19.109375" style="7" customWidth="1"/>
    <col min="12549" max="12549" width="35.109375" style="7" customWidth="1"/>
    <col min="12550" max="12550" width="9.88671875" style="7" bestFit="1" customWidth="1"/>
    <col min="12551" max="12551" width="8.88671875" style="7" bestFit="1" customWidth="1"/>
    <col min="12552" max="12562" width="10.33203125" style="7" customWidth="1"/>
    <col min="12563" max="12802" width="9.109375" style="7"/>
    <col min="12803" max="12803" width="1.6640625" style="7" customWidth="1"/>
    <col min="12804" max="12804" width="19.109375" style="7" customWidth="1"/>
    <col min="12805" max="12805" width="35.109375" style="7" customWidth="1"/>
    <col min="12806" max="12806" width="9.88671875" style="7" bestFit="1" customWidth="1"/>
    <col min="12807" max="12807" width="8.88671875" style="7" bestFit="1" customWidth="1"/>
    <col min="12808" max="12818" width="10.33203125" style="7" customWidth="1"/>
    <col min="12819" max="13058" width="9.109375" style="7"/>
    <col min="13059" max="13059" width="1.6640625" style="7" customWidth="1"/>
    <col min="13060" max="13060" width="19.109375" style="7" customWidth="1"/>
    <col min="13061" max="13061" width="35.109375" style="7" customWidth="1"/>
    <col min="13062" max="13062" width="9.88671875" style="7" bestFit="1" customWidth="1"/>
    <col min="13063" max="13063" width="8.88671875" style="7" bestFit="1" customWidth="1"/>
    <col min="13064" max="13074" width="10.33203125" style="7" customWidth="1"/>
    <col min="13075" max="13314" width="9.109375" style="7"/>
    <col min="13315" max="13315" width="1.6640625" style="7" customWidth="1"/>
    <col min="13316" max="13316" width="19.109375" style="7" customWidth="1"/>
    <col min="13317" max="13317" width="35.109375" style="7" customWidth="1"/>
    <col min="13318" max="13318" width="9.88671875" style="7" bestFit="1" customWidth="1"/>
    <col min="13319" max="13319" width="8.88671875" style="7" bestFit="1" customWidth="1"/>
    <col min="13320" max="13330" width="10.33203125" style="7" customWidth="1"/>
    <col min="13331" max="13570" width="9.109375" style="7"/>
    <col min="13571" max="13571" width="1.6640625" style="7" customWidth="1"/>
    <col min="13572" max="13572" width="19.109375" style="7" customWidth="1"/>
    <col min="13573" max="13573" width="35.109375" style="7" customWidth="1"/>
    <col min="13574" max="13574" width="9.88671875" style="7" bestFit="1" customWidth="1"/>
    <col min="13575" max="13575" width="8.88671875" style="7" bestFit="1" customWidth="1"/>
    <col min="13576" max="13586" width="10.33203125" style="7" customWidth="1"/>
    <col min="13587" max="13826" width="9.109375" style="7"/>
    <col min="13827" max="13827" width="1.6640625" style="7" customWidth="1"/>
    <col min="13828" max="13828" width="19.109375" style="7" customWidth="1"/>
    <col min="13829" max="13829" width="35.109375" style="7" customWidth="1"/>
    <col min="13830" max="13830" width="9.88671875" style="7" bestFit="1" customWidth="1"/>
    <col min="13831" max="13831" width="8.88671875" style="7" bestFit="1" customWidth="1"/>
    <col min="13832" max="13842" width="10.33203125" style="7" customWidth="1"/>
    <col min="13843" max="14082" width="9.109375" style="7"/>
    <col min="14083" max="14083" width="1.6640625" style="7" customWidth="1"/>
    <col min="14084" max="14084" width="19.109375" style="7" customWidth="1"/>
    <col min="14085" max="14085" width="35.109375" style="7" customWidth="1"/>
    <col min="14086" max="14086" width="9.88671875" style="7" bestFit="1" customWidth="1"/>
    <col min="14087" max="14087" width="8.88671875" style="7" bestFit="1" customWidth="1"/>
    <col min="14088" max="14098" width="10.33203125" style="7" customWidth="1"/>
    <col min="14099" max="14338" width="9.109375" style="7"/>
    <col min="14339" max="14339" width="1.6640625" style="7" customWidth="1"/>
    <col min="14340" max="14340" width="19.109375" style="7" customWidth="1"/>
    <col min="14341" max="14341" width="35.109375" style="7" customWidth="1"/>
    <col min="14342" max="14342" width="9.88671875" style="7" bestFit="1" customWidth="1"/>
    <col min="14343" max="14343" width="8.88671875" style="7" bestFit="1" customWidth="1"/>
    <col min="14344" max="14354" width="10.33203125" style="7" customWidth="1"/>
    <col min="14355" max="14594" width="9.109375" style="7"/>
    <col min="14595" max="14595" width="1.6640625" style="7" customWidth="1"/>
    <col min="14596" max="14596" width="19.109375" style="7" customWidth="1"/>
    <col min="14597" max="14597" width="35.109375" style="7" customWidth="1"/>
    <col min="14598" max="14598" width="9.88671875" style="7" bestFit="1" customWidth="1"/>
    <col min="14599" max="14599" width="8.88671875" style="7" bestFit="1" customWidth="1"/>
    <col min="14600" max="14610" width="10.33203125" style="7" customWidth="1"/>
    <col min="14611" max="14850" width="9.109375" style="7"/>
    <col min="14851" max="14851" width="1.6640625" style="7" customWidth="1"/>
    <col min="14852" max="14852" width="19.109375" style="7" customWidth="1"/>
    <col min="14853" max="14853" width="35.109375" style="7" customWidth="1"/>
    <col min="14854" max="14854" width="9.88671875" style="7" bestFit="1" customWidth="1"/>
    <col min="14855" max="14855" width="8.88671875" style="7" bestFit="1" customWidth="1"/>
    <col min="14856" max="14866" width="10.33203125" style="7" customWidth="1"/>
    <col min="14867" max="15106" width="9.109375" style="7"/>
    <col min="15107" max="15107" width="1.6640625" style="7" customWidth="1"/>
    <col min="15108" max="15108" width="19.109375" style="7" customWidth="1"/>
    <col min="15109" max="15109" width="35.109375" style="7" customWidth="1"/>
    <col min="15110" max="15110" width="9.88671875" style="7" bestFit="1" customWidth="1"/>
    <col min="15111" max="15111" width="8.88671875" style="7" bestFit="1" customWidth="1"/>
    <col min="15112" max="15122" width="10.33203125" style="7" customWidth="1"/>
    <col min="15123" max="15362" width="9.109375" style="7"/>
    <col min="15363" max="15363" width="1.6640625" style="7" customWidth="1"/>
    <col min="15364" max="15364" width="19.109375" style="7" customWidth="1"/>
    <col min="15365" max="15365" width="35.109375" style="7" customWidth="1"/>
    <col min="15366" max="15366" width="9.88671875" style="7" bestFit="1" customWidth="1"/>
    <col min="15367" max="15367" width="8.88671875" style="7" bestFit="1" customWidth="1"/>
    <col min="15368" max="15378" width="10.33203125" style="7" customWidth="1"/>
    <col min="15379" max="15618" width="9.109375" style="7"/>
    <col min="15619" max="15619" width="1.6640625" style="7" customWidth="1"/>
    <col min="15620" max="15620" width="19.109375" style="7" customWidth="1"/>
    <col min="15621" max="15621" width="35.109375" style="7" customWidth="1"/>
    <col min="15622" max="15622" width="9.88671875" style="7" bestFit="1" customWidth="1"/>
    <col min="15623" max="15623" width="8.88671875" style="7" bestFit="1" customWidth="1"/>
    <col min="15624" max="15634" width="10.33203125" style="7" customWidth="1"/>
    <col min="15635" max="15874" width="9.109375" style="7"/>
    <col min="15875" max="15875" width="1.6640625" style="7" customWidth="1"/>
    <col min="15876" max="15876" width="19.109375" style="7" customWidth="1"/>
    <col min="15877" max="15877" width="35.109375" style="7" customWidth="1"/>
    <col min="15878" max="15878" width="9.88671875" style="7" bestFit="1" customWidth="1"/>
    <col min="15879" max="15879" width="8.88671875" style="7" bestFit="1" customWidth="1"/>
    <col min="15880" max="15890" width="10.33203125" style="7" customWidth="1"/>
    <col min="15891" max="16130" width="9.109375" style="7"/>
    <col min="16131" max="16131" width="1.6640625" style="7" customWidth="1"/>
    <col min="16132" max="16132" width="19.109375" style="7" customWidth="1"/>
    <col min="16133" max="16133" width="35.109375" style="7" customWidth="1"/>
    <col min="16134" max="16134" width="9.88671875" style="7" bestFit="1" customWidth="1"/>
    <col min="16135" max="16135" width="8.88671875" style="7" bestFit="1" customWidth="1"/>
    <col min="16136" max="16146" width="10.33203125" style="7" customWidth="1"/>
    <col min="16147" max="16384" width="9.109375" style="7"/>
  </cols>
  <sheetData>
    <row r="1" spans="1:19" ht="27" customHeight="1" x14ac:dyDescent="0.3">
      <c r="A1" s="564"/>
      <c r="B1" s="564"/>
      <c r="C1" s="564"/>
      <c r="D1" s="1132" t="s">
        <v>103</v>
      </c>
      <c r="E1" s="1133"/>
      <c r="F1" s="1134"/>
      <c r="G1" s="1130" t="str">
        <f>'TCO TO BE- SW'!G1</f>
        <v>Interný agendový informačný systém KSED</v>
      </c>
      <c r="H1" s="1130"/>
      <c r="I1" s="1131"/>
      <c r="J1" s="1130" t="str">
        <f>'TCO TO BE- SW'!H1</f>
        <v>2. Mobilný Agendový informačný systém KSED</v>
      </c>
      <c r="K1" s="1130"/>
      <c r="L1" s="1131"/>
      <c r="M1" s="1130" t="str">
        <f>'TCO TO BE- SW'!I1</f>
        <v>3. Verejný portál KSED</v>
      </c>
      <c r="N1" s="1130"/>
      <c r="O1" s="1131"/>
      <c r="P1" s="1143" t="str">
        <f>'TCO TO BE- SW'!J1</f>
        <v>4. Mobilná aplikácia Podnety</v>
      </c>
      <c r="Q1" s="1130"/>
      <c r="R1" s="1131"/>
    </row>
    <row r="2" spans="1:19" ht="192.6" customHeight="1" x14ac:dyDescent="0.3">
      <c r="A2" s="564" t="s">
        <v>299</v>
      </c>
      <c r="B2" s="564"/>
      <c r="C2" s="564"/>
      <c r="D2" s="565"/>
      <c r="E2" s="566"/>
      <c r="F2" s="567"/>
      <c r="G2" s="1139" t="s">
        <v>489</v>
      </c>
      <c r="H2" s="1140"/>
      <c r="I2" s="1141"/>
      <c r="J2" s="1142" t="s">
        <v>367</v>
      </c>
      <c r="K2" s="1140"/>
      <c r="L2" s="1141"/>
      <c r="M2" s="1142" t="s">
        <v>567</v>
      </c>
      <c r="N2" s="1140"/>
      <c r="O2" s="1141"/>
      <c r="P2" s="1142" t="s">
        <v>488</v>
      </c>
      <c r="Q2" s="1140"/>
      <c r="R2" s="1148"/>
    </row>
    <row r="3" spans="1:19" x14ac:dyDescent="0.3">
      <c r="A3" s="564" t="s">
        <v>207</v>
      </c>
      <c r="B3" s="564"/>
      <c r="C3" s="564"/>
      <c r="D3" s="565"/>
      <c r="E3" s="566"/>
      <c r="F3" s="567"/>
      <c r="G3" s="1135"/>
      <c r="H3" s="1136"/>
      <c r="I3" s="1137"/>
      <c r="J3" s="1138"/>
      <c r="K3" s="1136"/>
      <c r="L3" s="1137"/>
      <c r="M3" s="1138"/>
      <c r="N3" s="1136"/>
      <c r="O3" s="1137"/>
      <c r="P3" s="1138"/>
      <c r="Q3" s="1136"/>
      <c r="R3" s="1149"/>
    </row>
    <row r="4" spans="1:19" x14ac:dyDescent="0.3">
      <c r="A4" s="564" t="s">
        <v>208</v>
      </c>
      <c r="B4" s="564"/>
      <c r="C4" s="564"/>
      <c r="D4" s="565"/>
      <c r="E4" s="566"/>
      <c r="F4" s="567"/>
      <c r="G4" s="1135"/>
      <c r="H4" s="1136"/>
      <c r="I4" s="1137"/>
      <c r="J4" s="1138"/>
      <c r="K4" s="1136"/>
      <c r="L4" s="1137"/>
      <c r="M4" s="1138"/>
      <c r="N4" s="1136"/>
      <c r="O4" s="1137"/>
      <c r="P4" s="1138"/>
      <c r="Q4" s="1136"/>
      <c r="R4" s="1149"/>
    </row>
    <row r="5" spans="1:19" s="62" customFormat="1" ht="15.75" customHeight="1" thickBot="1" x14ac:dyDescent="0.35">
      <c r="A5" s="280" t="s">
        <v>40</v>
      </c>
      <c r="B5" s="280" t="s">
        <v>10</v>
      </c>
      <c r="C5" s="280" t="s">
        <v>23</v>
      </c>
      <c r="D5" s="281" t="s">
        <v>210</v>
      </c>
      <c r="E5" s="282" t="s">
        <v>156</v>
      </c>
      <c r="F5" s="283" t="s">
        <v>150</v>
      </c>
      <c r="G5" s="284" t="s">
        <v>210</v>
      </c>
      <c r="H5" s="284" t="s">
        <v>156</v>
      </c>
      <c r="I5" s="285" t="s">
        <v>150</v>
      </c>
      <c r="J5" s="286" t="s">
        <v>210</v>
      </c>
      <c r="K5" s="284" t="s">
        <v>156</v>
      </c>
      <c r="L5" s="285" t="s">
        <v>150</v>
      </c>
      <c r="M5" s="286" t="s">
        <v>210</v>
      </c>
      <c r="N5" s="284" t="s">
        <v>156</v>
      </c>
      <c r="O5" s="285" t="s">
        <v>150</v>
      </c>
      <c r="P5" s="286" t="s">
        <v>210</v>
      </c>
      <c r="Q5" s="284" t="s">
        <v>156</v>
      </c>
      <c r="R5" s="287" t="s">
        <v>150</v>
      </c>
      <c r="S5" s="288"/>
    </row>
    <row r="6" spans="1:19" ht="14.4" customHeight="1" x14ac:dyDescent="0.3">
      <c r="A6" s="1124" t="s">
        <v>317</v>
      </c>
      <c r="B6" s="1127" t="s">
        <v>37</v>
      </c>
      <c r="C6" s="289" t="s">
        <v>25</v>
      </c>
      <c r="D6" s="290">
        <f t="shared" ref="D6:D15" si="0">G6+J6+M6+P6</f>
        <v>10636</v>
      </c>
      <c r="E6" s="291">
        <f t="shared" ref="E6:E15" si="1">H6+K6+N6+Q6</f>
        <v>10636</v>
      </c>
      <c r="F6" s="292">
        <f t="shared" ref="F6:F15" si="2">I6+L6+O6+R6</f>
        <v>0</v>
      </c>
      <c r="G6" s="919">
        <f>'Procesy - AS IS'!$AG$4</f>
        <v>2659</v>
      </c>
      <c r="H6" s="920">
        <f>G6</f>
        <v>2659</v>
      </c>
      <c r="I6" s="295">
        <f>H6-G6</f>
        <v>0</v>
      </c>
      <c r="J6" s="920">
        <f>G6</f>
        <v>2659</v>
      </c>
      <c r="K6" s="920">
        <f>H6</f>
        <v>2659</v>
      </c>
      <c r="L6" s="295">
        <f>K6-J6</f>
        <v>0</v>
      </c>
      <c r="M6" s="920">
        <f>G6</f>
        <v>2659</v>
      </c>
      <c r="N6" s="920">
        <f>H6</f>
        <v>2659</v>
      </c>
      <c r="O6" s="295">
        <f>N6-M6</f>
        <v>0</v>
      </c>
      <c r="P6" s="920">
        <f>G6</f>
        <v>2659</v>
      </c>
      <c r="Q6" s="920">
        <f>H6</f>
        <v>2659</v>
      </c>
      <c r="R6" s="296">
        <f>Q6-P6</f>
        <v>0</v>
      </c>
      <c r="S6" s="297">
        <v>0</v>
      </c>
    </row>
    <row r="7" spans="1:19" x14ac:dyDescent="0.3">
      <c r="A7" s="1125"/>
      <c r="B7" s="1128"/>
      <c r="C7" s="25" t="s">
        <v>26</v>
      </c>
      <c r="D7" s="298">
        <f t="shared" si="0"/>
        <v>10636</v>
      </c>
      <c r="E7" s="299">
        <f t="shared" si="1"/>
        <v>10636</v>
      </c>
      <c r="F7" s="300">
        <f t="shared" si="2"/>
        <v>0</v>
      </c>
      <c r="G7" s="921">
        <f>G6</f>
        <v>2659</v>
      </c>
      <c r="H7" s="922">
        <f>H6</f>
        <v>2659</v>
      </c>
      <c r="I7" s="303">
        <f t="shared" ref="I7:I35" si="3">H7-G7</f>
        <v>0</v>
      </c>
      <c r="J7" s="921">
        <f>J6</f>
        <v>2659</v>
      </c>
      <c r="K7" s="921">
        <f>K6</f>
        <v>2659</v>
      </c>
      <c r="L7" s="303">
        <f t="shared" ref="L7:L35" si="4">K7-J7</f>
        <v>0</v>
      </c>
      <c r="M7" s="921">
        <f>M6</f>
        <v>2659</v>
      </c>
      <c r="N7" s="921">
        <f>N6</f>
        <v>2659</v>
      </c>
      <c r="O7" s="303">
        <f t="shared" ref="O7:O35" si="5">N7-M7</f>
        <v>0</v>
      </c>
      <c r="P7" s="921">
        <f>P6</f>
        <v>2659</v>
      </c>
      <c r="Q7" s="921">
        <f>Q6</f>
        <v>2659</v>
      </c>
      <c r="R7" s="304">
        <f t="shared" ref="R7:R35" si="6">Q7-P7</f>
        <v>0</v>
      </c>
      <c r="S7" s="297"/>
    </row>
    <row r="8" spans="1:19" x14ac:dyDescent="0.3">
      <c r="A8" s="1125"/>
      <c r="B8" s="1128"/>
      <c r="C8" s="25" t="s">
        <v>27</v>
      </c>
      <c r="D8" s="298">
        <f t="shared" si="0"/>
        <v>10636</v>
      </c>
      <c r="E8" s="299">
        <f t="shared" si="1"/>
        <v>16681.62844781312</v>
      </c>
      <c r="F8" s="300">
        <f t="shared" si="2"/>
        <v>6045.6284478131201</v>
      </c>
      <c r="G8" s="921">
        <f t="shared" ref="G8:H15" si="7">G7</f>
        <v>2659</v>
      </c>
      <c r="H8" s="922">
        <f>'Procesy - TO BE'!$AE$52</f>
        <v>4170.40711195328</v>
      </c>
      <c r="I8" s="303">
        <f t="shared" si="3"/>
        <v>1511.40711195328</v>
      </c>
      <c r="J8" s="921">
        <f t="shared" ref="J8" si="8">J7</f>
        <v>2659</v>
      </c>
      <c r="K8" s="921">
        <f>H8</f>
        <v>4170.40711195328</v>
      </c>
      <c r="L8" s="303">
        <f t="shared" si="4"/>
        <v>1511.40711195328</v>
      </c>
      <c r="M8" s="921">
        <f t="shared" ref="M8" si="9">M7</f>
        <v>2659</v>
      </c>
      <c r="N8" s="921">
        <f>H8</f>
        <v>4170.40711195328</v>
      </c>
      <c r="O8" s="303">
        <f t="shared" si="5"/>
        <v>1511.40711195328</v>
      </c>
      <c r="P8" s="921">
        <f t="shared" ref="P8" si="10">P7</f>
        <v>2659</v>
      </c>
      <c r="Q8" s="921">
        <f>H8</f>
        <v>4170.40711195328</v>
      </c>
      <c r="R8" s="304">
        <f t="shared" si="6"/>
        <v>1511.40711195328</v>
      </c>
      <c r="S8" s="297"/>
    </row>
    <row r="9" spans="1:19" x14ac:dyDescent="0.3">
      <c r="A9" s="1125"/>
      <c r="B9" s="1128"/>
      <c r="C9" s="25" t="s">
        <v>28</v>
      </c>
      <c r="D9" s="298">
        <f t="shared" si="0"/>
        <v>10636</v>
      </c>
      <c r="E9" s="299">
        <f t="shared" si="1"/>
        <v>16681.62844781312</v>
      </c>
      <c r="F9" s="300">
        <f t="shared" si="2"/>
        <v>6045.6284478131201</v>
      </c>
      <c r="G9" s="921">
        <f t="shared" si="7"/>
        <v>2659</v>
      </c>
      <c r="H9" s="922">
        <f t="shared" si="7"/>
        <v>4170.40711195328</v>
      </c>
      <c r="I9" s="303">
        <f t="shared" si="3"/>
        <v>1511.40711195328</v>
      </c>
      <c r="J9" s="921">
        <f t="shared" ref="J9:K9" si="11">J8</f>
        <v>2659</v>
      </c>
      <c r="K9" s="921">
        <f t="shared" si="11"/>
        <v>4170.40711195328</v>
      </c>
      <c r="L9" s="303">
        <f t="shared" si="4"/>
        <v>1511.40711195328</v>
      </c>
      <c r="M9" s="921">
        <f t="shared" ref="M9:N9" si="12">M8</f>
        <v>2659</v>
      </c>
      <c r="N9" s="921">
        <f t="shared" si="12"/>
        <v>4170.40711195328</v>
      </c>
      <c r="O9" s="303">
        <f t="shared" si="5"/>
        <v>1511.40711195328</v>
      </c>
      <c r="P9" s="921">
        <f t="shared" ref="P9:Q9" si="13">P8</f>
        <v>2659</v>
      </c>
      <c r="Q9" s="921">
        <f t="shared" si="13"/>
        <v>4170.40711195328</v>
      </c>
      <c r="R9" s="304">
        <f t="shared" si="6"/>
        <v>1511.40711195328</v>
      </c>
      <c r="S9" s="297"/>
    </row>
    <row r="10" spans="1:19" x14ac:dyDescent="0.3">
      <c r="A10" s="1125"/>
      <c r="B10" s="1128"/>
      <c r="C10" s="25" t="s">
        <v>29</v>
      </c>
      <c r="D10" s="298">
        <f t="shared" si="0"/>
        <v>10636</v>
      </c>
      <c r="E10" s="299">
        <f t="shared" si="1"/>
        <v>16681.62844781312</v>
      </c>
      <c r="F10" s="300">
        <f t="shared" si="2"/>
        <v>6045.6284478131201</v>
      </c>
      <c r="G10" s="921">
        <f t="shared" si="7"/>
        <v>2659</v>
      </c>
      <c r="H10" s="922">
        <f t="shared" si="7"/>
        <v>4170.40711195328</v>
      </c>
      <c r="I10" s="303">
        <f t="shared" si="3"/>
        <v>1511.40711195328</v>
      </c>
      <c r="J10" s="921">
        <f t="shared" ref="J10:K10" si="14">J9</f>
        <v>2659</v>
      </c>
      <c r="K10" s="921">
        <f t="shared" si="14"/>
        <v>4170.40711195328</v>
      </c>
      <c r="L10" s="303">
        <f t="shared" si="4"/>
        <v>1511.40711195328</v>
      </c>
      <c r="M10" s="921">
        <f t="shared" ref="M10:N10" si="15">M9</f>
        <v>2659</v>
      </c>
      <c r="N10" s="921">
        <f t="shared" si="15"/>
        <v>4170.40711195328</v>
      </c>
      <c r="O10" s="303">
        <f t="shared" si="5"/>
        <v>1511.40711195328</v>
      </c>
      <c r="P10" s="921">
        <f t="shared" ref="P10:Q10" si="16">P9</f>
        <v>2659</v>
      </c>
      <c r="Q10" s="921">
        <f t="shared" si="16"/>
        <v>4170.40711195328</v>
      </c>
      <c r="R10" s="304">
        <f t="shared" si="6"/>
        <v>1511.40711195328</v>
      </c>
      <c r="S10" s="297"/>
    </row>
    <row r="11" spans="1:19" x14ac:dyDescent="0.3">
      <c r="A11" s="1125"/>
      <c r="B11" s="1128"/>
      <c r="C11" s="25" t="s">
        <v>30</v>
      </c>
      <c r="D11" s="298">
        <f t="shared" si="0"/>
        <v>10636</v>
      </c>
      <c r="E11" s="299">
        <f t="shared" si="1"/>
        <v>16681.62844781312</v>
      </c>
      <c r="F11" s="300">
        <f t="shared" si="2"/>
        <v>6045.6284478131201</v>
      </c>
      <c r="G11" s="921">
        <f t="shared" si="7"/>
        <v>2659</v>
      </c>
      <c r="H11" s="922">
        <f t="shared" si="7"/>
        <v>4170.40711195328</v>
      </c>
      <c r="I11" s="303">
        <f t="shared" si="3"/>
        <v>1511.40711195328</v>
      </c>
      <c r="J11" s="921">
        <f t="shared" ref="J11:K11" si="17">J10</f>
        <v>2659</v>
      </c>
      <c r="K11" s="921">
        <f t="shared" si="17"/>
        <v>4170.40711195328</v>
      </c>
      <c r="L11" s="303">
        <f t="shared" si="4"/>
        <v>1511.40711195328</v>
      </c>
      <c r="M11" s="921">
        <f t="shared" ref="M11:N11" si="18">M10</f>
        <v>2659</v>
      </c>
      <c r="N11" s="921">
        <f t="shared" si="18"/>
        <v>4170.40711195328</v>
      </c>
      <c r="O11" s="303">
        <f t="shared" si="5"/>
        <v>1511.40711195328</v>
      </c>
      <c r="P11" s="921">
        <f t="shared" ref="P11:Q11" si="19">P10</f>
        <v>2659</v>
      </c>
      <c r="Q11" s="921">
        <f t="shared" si="19"/>
        <v>4170.40711195328</v>
      </c>
      <c r="R11" s="304">
        <f t="shared" si="6"/>
        <v>1511.40711195328</v>
      </c>
      <c r="S11" s="297"/>
    </row>
    <row r="12" spans="1:19" x14ac:dyDescent="0.3">
      <c r="A12" s="1125"/>
      <c r="B12" s="1128"/>
      <c r="C12" s="25" t="s">
        <v>31</v>
      </c>
      <c r="D12" s="298">
        <f t="shared" si="0"/>
        <v>10636</v>
      </c>
      <c r="E12" s="299">
        <f t="shared" si="1"/>
        <v>16681.62844781312</v>
      </c>
      <c r="F12" s="300">
        <f t="shared" si="2"/>
        <v>6045.6284478131201</v>
      </c>
      <c r="G12" s="921">
        <f t="shared" si="7"/>
        <v>2659</v>
      </c>
      <c r="H12" s="922">
        <f t="shared" si="7"/>
        <v>4170.40711195328</v>
      </c>
      <c r="I12" s="303">
        <f t="shared" si="3"/>
        <v>1511.40711195328</v>
      </c>
      <c r="J12" s="921">
        <f t="shared" ref="J12:K12" si="20">J11</f>
        <v>2659</v>
      </c>
      <c r="K12" s="921">
        <f t="shared" si="20"/>
        <v>4170.40711195328</v>
      </c>
      <c r="L12" s="303">
        <f t="shared" si="4"/>
        <v>1511.40711195328</v>
      </c>
      <c r="M12" s="921">
        <f t="shared" ref="M12:N12" si="21">M11</f>
        <v>2659</v>
      </c>
      <c r="N12" s="921">
        <f t="shared" si="21"/>
        <v>4170.40711195328</v>
      </c>
      <c r="O12" s="303">
        <f t="shared" si="5"/>
        <v>1511.40711195328</v>
      </c>
      <c r="P12" s="921">
        <f t="shared" ref="P12:Q12" si="22">P11</f>
        <v>2659</v>
      </c>
      <c r="Q12" s="921">
        <f t="shared" si="22"/>
        <v>4170.40711195328</v>
      </c>
      <c r="R12" s="304">
        <f t="shared" si="6"/>
        <v>1511.40711195328</v>
      </c>
      <c r="S12" s="297"/>
    </row>
    <row r="13" spans="1:19" x14ac:dyDescent="0.3">
      <c r="A13" s="1125"/>
      <c r="B13" s="1128"/>
      <c r="C13" s="25" t="s">
        <v>32</v>
      </c>
      <c r="D13" s="298">
        <f t="shared" si="0"/>
        <v>10636</v>
      </c>
      <c r="E13" s="299">
        <f t="shared" si="1"/>
        <v>16681.62844781312</v>
      </c>
      <c r="F13" s="300">
        <f t="shared" si="2"/>
        <v>6045.6284478131201</v>
      </c>
      <c r="G13" s="921">
        <f t="shared" si="7"/>
        <v>2659</v>
      </c>
      <c r="H13" s="922">
        <f t="shared" si="7"/>
        <v>4170.40711195328</v>
      </c>
      <c r="I13" s="303">
        <f t="shared" si="3"/>
        <v>1511.40711195328</v>
      </c>
      <c r="J13" s="921">
        <f t="shared" ref="J13:K13" si="23">J12</f>
        <v>2659</v>
      </c>
      <c r="K13" s="921">
        <f t="shared" si="23"/>
        <v>4170.40711195328</v>
      </c>
      <c r="L13" s="303">
        <f t="shared" si="4"/>
        <v>1511.40711195328</v>
      </c>
      <c r="M13" s="921">
        <f t="shared" ref="M13:N13" si="24">M12</f>
        <v>2659</v>
      </c>
      <c r="N13" s="921">
        <f t="shared" si="24"/>
        <v>4170.40711195328</v>
      </c>
      <c r="O13" s="303">
        <f t="shared" si="5"/>
        <v>1511.40711195328</v>
      </c>
      <c r="P13" s="921">
        <f t="shared" ref="P13:Q13" si="25">P12</f>
        <v>2659</v>
      </c>
      <c r="Q13" s="921">
        <f t="shared" si="25"/>
        <v>4170.40711195328</v>
      </c>
      <c r="R13" s="304">
        <f t="shared" si="6"/>
        <v>1511.40711195328</v>
      </c>
      <c r="S13" s="297"/>
    </row>
    <row r="14" spans="1:19" x14ac:dyDescent="0.3">
      <c r="A14" s="1125"/>
      <c r="B14" s="1128"/>
      <c r="C14" s="25" t="s">
        <v>33</v>
      </c>
      <c r="D14" s="298">
        <f t="shared" si="0"/>
        <v>10636</v>
      </c>
      <c r="E14" s="299">
        <f t="shared" si="1"/>
        <v>16681.62844781312</v>
      </c>
      <c r="F14" s="300">
        <f t="shared" si="2"/>
        <v>6045.6284478131201</v>
      </c>
      <c r="G14" s="921">
        <f t="shared" si="7"/>
        <v>2659</v>
      </c>
      <c r="H14" s="922">
        <f t="shared" si="7"/>
        <v>4170.40711195328</v>
      </c>
      <c r="I14" s="303">
        <f t="shared" si="3"/>
        <v>1511.40711195328</v>
      </c>
      <c r="J14" s="921">
        <f t="shared" ref="J14:K14" si="26">J13</f>
        <v>2659</v>
      </c>
      <c r="K14" s="921">
        <f t="shared" si="26"/>
        <v>4170.40711195328</v>
      </c>
      <c r="L14" s="303">
        <f t="shared" si="4"/>
        <v>1511.40711195328</v>
      </c>
      <c r="M14" s="921">
        <f t="shared" ref="M14:N14" si="27">M13</f>
        <v>2659</v>
      </c>
      <c r="N14" s="921">
        <f t="shared" si="27"/>
        <v>4170.40711195328</v>
      </c>
      <c r="O14" s="303">
        <f t="shared" si="5"/>
        <v>1511.40711195328</v>
      </c>
      <c r="P14" s="921">
        <f t="shared" ref="P14:Q14" si="28">P13</f>
        <v>2659</v>
      </c>
      <c r="Q14" s="921">
        <f t="shared" si="28"/>
        <v>4170.40711195328</v>
      </c>
      <c r="R14" s="304">
        <f t="shared" si="6"/>
        <v>1511.40711195328</v>
      </c>
      <c r="S14" s="297"/>
    </row>
    <row r="15" spans="1:19" ht="15" thickBot="1" x14ac:dyDescent="0.35">
      <c r="A15" s="1126"/>
      <c r="B15" s="1129"/>
      <c r="C15" s="305" t="s">
        <v>34</v>
      </c>
      <c r="D15" s="306">
        <f t="shared" si="0"/>
        <v>10636</v>
      </c>
      <c r="E15" s="307">
        <f t="shared" si="1"/>
        <v>16681.62844781312</v>
      </c>
      <c r="F15" s="308">
        <f t="shared" si="2"/>
        <v>6045.6284478131201</v>
      </c>
      <c r="G15" s="923">
        <f t="shared" si="7"/>
        <v>2659</v>
      </c>
      <c r="H15" s="924">
        <f t="shared" si="7"/>
        <v>4170.40711195328</v>
      </c>
      <c r="I15" s="311">
        <f t="shared" si="3"/>
        <v>1511.40711195328</v>
      </c>
      <c r="J15" s="923">
        <f t="shared" ref="J15:K15" si="29">J14</f>
        <v>2659</v>
      </c>
      <c r="K15" s="923">
        <f t="shared" si="29"/>
        <v>4170.40711195328</v>
      </c>
      <c r="L15" s="311">
        <f t="shared" si="4"/>
        <v>1511.40711195328</v>
      </c>
      <c r="M15" s="923">
        <f t="shared" ref="M15:N15" si="30">M14</f>
        <v>2659</v>
      </c>
      <c r="N15" s="923">
        <f t="shared" si="30"/>
        <v>4170.40711195328</v>
      </c>
      <c r="O15" s="311">
        <f t="shared" si="5"/>
        <v>1511.40711195328</v>
      </c>
      <c r="P15" s="923">
        <f t="shared" ref="P15:Q15" si="31">P14</f>
        <v>2659</v>
      </c>
      <c r="Q15" s="923">
        <f t="shared" si="31"/>
        <v>4170.40711195328</v>
      </c>
      <c r="R15" s="312">
        <f t="shared" si="6"/>
        <v>1511.40711195328</v>
      </c>
      <c r="S15" s="297"/>
    </row>
    <row r="16" spans="1:19" ht="14.4" customHeight="1" x14ac:dyDescent="0.3">
      <c r="A16" s="1124" t="s">
        <v>633</v>
      </c>
      <c r="B16" s="1127" t="s">
        <v>37</v>
      </c>
      <c r="C16" s="289" t="s">
        <v>25</v>
      </c>
      <c r="D16" s="290">
        <f t="shared" ref="D16:D25" si="32">G16+J16+M16+P16</f>
        <v>3600</v>
      </c>
      <c r="E16" s="291">
        <f t="shared" ref="E16:E25" si="33">H16+K16+N16+Q16</f>
        <v>3600</v>
      </c>
      <c r="F16" s="292">
        <f t="shared" ref="F16:F25" si="34">I16+L16+O16+R16</f>
        <v>0</v>
      </c>
      <c r="G16" s="919">
        <f>'Procesy - AS IS'!$AH$4</f>
        <v>900</v>
      </c>
      <c r="H16" s="920">
        <f>G16</f>
        <v>900</v>
      </c>
      <c r="I16" s="295">
        <f>H16-G16</f>
        <v>0</v>
      </c>
      <c r="J16" s="920">
        <f>G16</f>
        <v>900</v>
      </c>
      <c r="K16" s="920">
        <f>H16</f>
        <v>900</v>
      </c>
      <c r="L16" s="295">
        <f>K16-J16</f>
        <v>0</v>
      </c>
      <c r="M16" s="920">
        <f>G16</f>
        <v>900</v>
      </c>
      <c r="N16" s="920">
        <f>H16</f>
        <v>900</v>
      </c>
      <c r="O16" s="295">
        <f>N16-M16</f>
        <v>0</v>
      </c>
      <c r="P16" s="920">
        <f>G16</f>
        <v>900</v>
      </c>
      <c r="Q16" s="920">
        <f>H16</f>
        <v>900</v>
      </c>
      <c r="R16" s="296">
        <f>Q16-P16</f>
        <v>0</v>
      </c>
      <c r="S16" s="297">
        <v>0</v>
      </c>
    </row>
    <row r="17" spans="1:19" x14ac:dyDescent="0.3">
      <c r="A17" s="1125"/>
      <c r="B17" s="1128"/>
      <c r="C17" s="25" t="s">
        <v>26</v>
      </c>
      <c r="D17" s="298">
        <f t="shared" si="32"/>
        <v>3600</v>
      </c>
      <c r="E17" s="299">
        <f t="shared" si="33"/>
        <v>3600</v>
      </c>
      <c r="F17" s="300">
        <f t="shared" si="34"/>
        <v>0</v>
      </c>
      <c r="G17" s="921">
        <f>G16</f>
        <v>900</v>
      </c>
      <c r="H17" s="922">
        <f>H16</f>
        <v>900</v>
      </c>
      <c r="I17" s="303">
        <f t="shared" ref="I17:I25" si="35">H17-G17</f>
        <v>0</v>
      </c>
      <c r="J17" s="921">
        <f>J16</f>
        <v>900</v>
      </c>
      <c r="K17" s="921">
        <f>K16</f>
        <v>900</v>
      </c>
      <c r="L17" s="303">
        <f t="shared" ref="L17:L25" si="36">K17-J17</f>
        <v>0</v>
      </c>
      <c r="M17" s="921">
        <f>M16</f>
        <v>900</v>
      </c>
      <c r="N17" s="921">
        <f>N16</f>
        <v>900</v>
      </c>
      <c r="O17" s="303">
        <f t="shared" ref="O17:O25" si="37">N17-M17</f>
        <v>0</v>
      </c>
      <c r="P17" s="921">
        <f>P16</f>
        <v>900</v>
      </c>
      <c r="Q17" s="921">
        <f>Q16</f>
        <v>900</v>
      </c>
      <c r="R17" s="304">
        <f t="shared" ref="R17:R25" si="38">Q17-P17</f>
        <v>0</v>
      </c>
      <c r="S17" s="297"/>
    </row>
    <row r="18" spans="1:19" x14ac:dyDescent="0.3">
      <c r="A18" s="1125"/>
      <c r="B18" s="1128"/>
      <c r="C18" s="25" t="s">
        <v>27</v>
      </c>
      <c r="D18" s="298">
        <f t="shared" si="32"/>
        <v>3600</v>
      </c>
      <c r="E18" s="299">
        <f t="shared" si="33"/>
        <v>6672.6513791252482</v>
      </c>
      <c r="F18" s="300">
        <f t="shared" si="34"/>
        <v>3072.6513791252482</v>
      </c>
      <c r="G18" s="921">
        <f t="shared" ref="G18" si="39">G17</f>
        <v>900</v>
      </c>
      <c r="H18" s="922">
        <f>'Procesy - TO BE'!$AF$52</f>
        <v>1668.1628447813121</v>
      </c>
      <c r="I18" s="303">
        <f t="shared" si="35"/>
        <v>768.16284478131206</v>
      </c>
      <c r="J18" s="921">
        <f t="shared" ref="J18" si="40">J17</f>
        <v>900</v>
      </c>
      <c r="K18" s="921">
        <f>H18</f>
        <v>1668.1628447813121</v>
      </c>
      <c r="L18" s="303">
        <f t="shared" si="36"/>
        <v>768.16284478131206</v>
      </c>
      <c r="M18" s="921">
        <f t="shared" ref="M18" si="41">M17</f>
        <v>900</v>
      </c>
      <c r="N18" s="921">
        <f>H18</f>
        <v>1668.1628447813121</v>
      </c>
      <c r="O18" s="303">
        <f t="shared" si="37"/>
        <v>768.16284478131206</v>
      </c>
      <c r="P18" s="921">
        <f t="shared" ref="P18" si="42">P17</f>
        <v>900</v>
      </c>
      <c r="Q18" s="921">
        <f>H18</f>
        <v>1668.1628447813121</v>
      </c>
      <c r="R18" s="304">
        <f t="shared" si="38"/>
        <v>768.16284478131206</v>
      </c>
      <c r="S18" s="297"/>
    </row>
    <row r="19" spans="1:19" x14ac:dyDescent="0.3">
      <c r="A19" s="1125"/>
      <c r="B19" s="1128"/>
      <c r="C19" s="25" t="s">
        <v>28</v>
      </c>
      <c r="D19" s="298">
        <f t="shared" si="32"/>
        <v>3600</v>
      </c>
      <c r="E19" s="299">
        <f t="shared" si="33"/>
        <v>6672.6513791252482</v>
      </c>
      <c r="F19" s="300">
        <f t="shared" si="34"/>
        <v>3072.6513791252482</v>
      </c>
      <c r="G19" s="921">
        <f t="shared" ref="G19:H19" si="43">G18</f>
        <v>900</v>
      </c>
      <c r="H19" s="922">
        <f t="shared" si="43"/>
        <v>1668.1628447813121</v>
      </c>
      <c r="I19" s="303">
        <f t="shared" si="35"/>
        <v>768.16284478131206</v>
      </c>
      <c r="J19" s="921">
        <f t="shared" ref="J19:K19" si="44">J18</f>
        <v>900</v>
      </c>
      <c r="K19" s="921">
        <f t="shared" si="44"/>
        <v>1668.1628447813121</v>
      </c>
      <c r="L19" s="303">
        <f t="shared" si="36"/>
        <v>768.16284478131206</v>
      </c>
      <c r="M19" s="921">
        <f t="shared" ref="M19:N19" si="45">M18</f>
        <v>900</v>
      </c>
      <c r="N19" s="921">
        <f t="shared" si="45"/>
        <v>1668.1628447813121</v>
      </c>
      <c r="O19" s="303">
        <f t="shared" si="37"/>
        <v>768.16284478131206</v>
      </c>
      <c r="P19" s="921">
        <f t="shared" ref="P19:Q19" si="46">P18</f>
        <v>900</v>
      </c>
      <c r="Q19" s="921">
        <f t="shared" si="46"/>
        <v>1668.1628447813121</v>
      </c>
      <c r="R19" s="304">
        <f t="shared" si="38"/>
        <v>768.16284478131206</v>
      </c>
      <c r="S19" s="297"/>
    </row>
    <row r="20" spans="1:19" x14ac:dyDescent="0.3">
      <c r="A20" s="1125"/>
      <c r="B20" s="1128"/>
      <c r="C20" s="25" t="s">
        <v>29</v>
      </c>
      <c r="D20" s="298">
        <f t="shared" si="32"/>
        <v>3600</v>
      </c>
      <c r="E20" s="299">
        <f t="shared" si="33"/>
        <v>6672.6513791252482</v>
      </c>
      <c r="F20" s="300">
        <f t="shared" si="34"/>
        <v>3072.6513791252482</v>
      </c>
      <c r="G20" s="921">
        <f t="shared" ref="G20:H20" si="47">G19</f>
        <v>900</v>
      </c>
      <c r="H20" s="922">
        <f t="shared" si="47"/>
        <v>1668.1628447813121</v>
      </c>
      <c r="I20" s="303">
        <f t="shared" si="35"/>
        <v>768.16284478131206</v>
      </c>
      <c r="J20" s="921">
        <f t="shared" ref="J20:K20" si="48">J19</f>
        <v>900</v>
      </c>
      <c r="K20" s="921">
        <f t="shared" si="48"/>
        <v>1668.1628447813121</v>
      </c>
      <c r="L20" s="303">
        <f t="shared" si="36"/>
        <v>768.16284478131206</v>
      </c>
      <c r="M20" s="921">
        <f t="shared" ref="M20:N20" si="49">M19</f>
        <v>900</v>
      </c>
      <c r="N20" s="921">
        <f t="shared" si="49"/>
        <v>1668.1628447813121</v>
      </c>
      <c r="O20" s="303">
        <f t="shared" si="37"/>
        <v>768.16284478131206</v>
      </c>
      <c r="P20" s="921">
        <f t="shared" ref="P20:Q20" si="50">P19</f>
        <v>900</v>
      </c>
      <c r="Q20" s="921">
        <f t="shared" si="50"/>
        <v>1668.1628447813121</v>
      </c>
      <c r="R20" s="304">
        <f t="shared" si="38"/>
        <v>768.16284478131206</v>
      </c>
      <c r="S20" s="297"/>
    </row>
    <row r="21" spans="1:19" x14ac:dyDescent="0.3">
      <c r="A21" s="1125"/>
      <c r="B21" s="1128"/>
      <c r="C21" s="25" t="s">
        <v>30</v>
      </c>
      <c r="D21" s="298">
        <f t="shared" si="32"/>
        <v>3600</v>
      </c>
      <c r="E21" s="299">
        <f t="shared" si="33"/>
        <v>6672.6513791252482</v>
      </c>
      <c r="F21" s="300">
        <f t="shared" si="34"/>
        <v>3072.6513791252482</v>
      </c>
      <c r="G21" s="921">
        <f t="shared" ref="G21:H21" si="51">G20</f>
        <v>900</v>
      </c>
      <c r="H21" s="922">
        <f t="shared" si="51"/>
        <v>1668.1628447813121</v>
      </c>
      <c r="I21" s="303">
        <f t="shared" si="35"/>
        <v>768.16284478131206</v>
      </c>
      <c r="J21" s="921">
        <f t="shared" ref="J21:K21" si="52">J20</f>
        <v>900</v>
      </c>
      <c r="K21" s="921">
        <f t="shared" si="52"/>
        <v>1668.1628447813121</v>
      </c>
      <c r="L21" s="303">
        <f t="shared" si="36"/>
        <v>768.16284478131206</v>
      </c>
      <c r="M21" s="921">
        <f t="shared" ref="M21:N21" si="53">M20</f>
        <v>900</v>
      </c>
      <c r="N21" s="921">
        <f t="shared" si="53"/>
        <v>1668.1628447813121</v>
      </c>
      <c r="O21" s="303">
        <f t="shared" si="37"/>
        <v>768.16284478131206</v>
      </c>
      <c r="P21" s="921">
        <f t="shared" ref="P21:Q21" si="54">P20</f>
        <v>900</v>
      </c>
      <c r="Q21" s="921">
        <f t="shared" si="54"/>
        <v>1668.1628447813121</v>
      </c>
      <c r="R21" s="304">
        <f t="shared" si="38"/>
        <v>768.16284478131206</v>
      </c>
      <c r="S21" s="297"/>
    </row>
    <row r="22" spans="1:19" x14ac:dyDescent="0.3">
      <c r="A22" s="1125"/>
      <c r="B22" s="1128"/>
      <c r="C22" s="25" t="s">
        <v>31</v>
      </c>
      <c r="D22" s="298">
        <f t="shared" si="32"/>
        <v>3600</v>
      </c>
      <c r="E22" s="299">
        <f t="shared" si="33"/>
        <v>6672.6513791252482</v>
      </c>
      <c r="F22" s="300">
        <f t="shared" si="34"/>
        <v>3072.6513791252482</v>
      </c>
      <c r="G22" s="921">
        <f t="shared" ref="G22:H22" si="55">G21</f>
        <v>900</v>
      </c>
      <c r="H22" s="922">
        <f t="shared" si="55"/>
        <v>1668.1628447813121</v>
      </c>
      <c r="I22" s="303">
        <f t="shared" si="35"/>
        <v>768.16284478131206</v>
      </c>
      <c r="J22" s="921">
        <f t="shared" ref="J22:K22" si="56">J21</f>
        <v>900</v>
      </c>
      <c r="K22" s="921">
        <f t="shared" si="56"/>
        <v>1668.1628447813121</v>
      </c>
      <c r="L22" s="303">
        <f t="shared" si="36"/>
        <v>768.16284478131206</v>
      </c>
      <c r="M22" s="921">
        <f t="shared" ref="M22:N22" si="57">M21</f>
        <v>900</v>
      </c>
      <c r="N22" s="921">
        <f t="shared" si="57"/>
        <v>1668.1628447813121</v>
      </c>
      <c r="O22" s="303">
        <f t="shared" si="37"/>
        <v>768.16284478131206</v>
      </c>
      <c r="P22" s="921">
        <f t="shared" ref="P22:Q22" si="58">P21</f>
        <v>900</v>
      </c>
      <c r="Q22" s="921">
        <f t="shared" si="58"/>
        <v>1668.1628447813121</v>
      </c>
      <c r="R22" s="304">
        <f t="shared" si="38"/>
        <v>768.16284478131206</v>
      </c>
      <c r="S22" s="297"/>
    </row>
    <row r="23" spans="1:19" x14ac:dyDescent="0.3">
      <c r="A23" s="1125"/>
      <c r="B23" s="1128"/>
      <c r="C23" s="25" t="s">
        <v>32</v>
      </c>
      <c r="D23" s="298">
        <f t="shared" si="32"/>
        <v>3600</v>
      </c>
      <c r="E23" s="299">
        <f t="shared" si="33"/>
        <v>6672.6513791252482</v>
      </c>
      <c r="F23" s="300">
        <f t="shared" si="34"/>
        <v>3072.6513791252482</v>
      </c>
      <c r="G23" s="921">
        <f t="shared" ref="G23:H23" si="59">G22</f>
        <v>900</v>
      </c>
      <c r="H23" s="922">
        <f t="shared" si="59"/>
        <v>1668.1628447813121</v>
      </c>
      <c r="I23" s="303">
        <f t="shared" si="35"/>
        <v>768.16284478131206</v>
      </c>
      <c r="J23" s="921">
        <f t="shared" ref="J23:K23" si="60">J22</f>
        <v>900</v>
      </c>
      <c r="K23" s="921">
        <f t="shared" si="60"/>
        <v>1668.1628447813121</v>
      </c>
      <c r="L23" s="303">
        <f t="shared" si="36"/>
        <v>768.16284478131206</v>
      </c>
      <c r="M23" s="921">
        <f t="shared" ref="M23:N23" si="61">M22</f>
        <v>900</v>
      </c>
      <c r="N23" s="921">
        <f t="shared" si="61"/>
        <v>1668.1628447813121</v>
      </c>
      <c r="O23" s="303">
        <f t="shared" si="37"/>
        <v>768.16284478131206</v>
      </c>
      <c r="P23" s="921">
        <f t="shared" ref="P23:Q23" si="62">P22</f>
        <v>900</v>
      </c>
      <c r="Q23" s="921">
        <f t="shared" si="62"/>
        <v>1668.1628447813121</v>
      </c>
      <c r="R23" s="304">
        <f t="shared" si="38"/>
        <v>768.16284478131206</v>
      </c>
      <c r="S23" s="297"/>
    </row>
    <row r="24" spans="1:19" x14ac:dyDescent="0.3">
      <c r="A24" s="1125"/>
      <c r="B24" s="1128"/>
      <c r="C24" s="25" t="s">
        <v>33</v>
      </c>
      <c r="D24" s="298">
        <f t="shared" si="32"/>
        <v>3600</v>
      </c>
      <c r="E24" s="299">
        <f t="shared" si="33"/>
        <v>6672.6513791252482</v>
      </c>
      <c r="F24" s="300">
        <f t="shared" si="34"/>
        <v>3072.6513791252482</v>
      </c>
      <c r="G24" s="921">
        <f t="shared" ref="G24:H24" si="63">G23</f>
        <v>900</v>
      </c>
      <c r="H24" s="922">
        <f t="shared" si="63"/>
        <v>1668.1628447813121</v>
      </c>
      <c r="I24" s="303">
        <f t="shared" si="35"/>
        <v>768.16284478131206</v>
      </c>
      <c r="J24" s="921">
        <f t="shared" ref="J24:K24" si="64">J23</f>
        <v>900</v>
      </c>
      <c r="K24" s="921">
        <f t="shared" si="64"/>
        <v>1668.1628447813121</v>
      </c>
      <c r="L24" s="303">
        <f t="shared" si="36"/>
        <v>768.16284478131206</v>
      </c>
      <c r="M24" s="921">
        <f t="shared" ref="M24:N24" si="65">M23</f>
        <v>900</v>
      </c>
      <c r="N24" s="921">
        <f t="shared" si="65"/>
        <v>1668.1628447813121</v>
      </c>
      <c r="O24" s="303">
        <f t="shared" si="37"/>
        <v>768.16284478131206</v>
      </c>
      <c r="P24" s="921">
        <f t="shared" ref="P24:Q24" si="66">P23</f>
        <v>900</v>
      </c>
      <c r="Q24" s="921">
        <f t="shared" si="66"/>
        <v>1668.1628447813121</v>
      </c>
      <c r="R24" s="304">
        <f t="shared" si="38"/>
        <v>768.16284478131206</v>
      </c>
      <c r="S24" s="297"/>
    </row>
    <row r="25" spans="1:19" ht="15" thickBot="1" x14ac:dyDescent="0.35">
      <c r="A25" s="1126"/>
      <c r="B25" s="1129"/>
      <c r="C25" s="305" t="s">
        <v>34</v>
      </c>
      <c r="D25" s="306">
        <f t="shared" si="32"/>
        <v>3600</v>
      </c>
      <c r="E25" s="307">
        <f t="shared" si="33"/>
        <v>6672.6513791252482</v>
      </c>
      <c r="F25" s="308">
        <f t="shared" si="34"/>
        <v>3072.6513791252482</v>
      </c>
      <c r="G25" s="923">
        <f t="shared" ref="G25:H25" si="67">G24</f>
        <v>900</v>
      </c>
      <c r="H25" s="924">
        <f t="shared" si="67"/>
        <v>1668.1628447813121</v>
      </c>
      <c r="I25" s="311">
        <f t="shared" si="35"/>
        <v>768.16284478131206</v>
      </c>
      <c r="J25" s="923">
        <f t="shared" ref="J25:K25" si="68">J24</f>
        <v>900</v>
      </c>
      <c r="K25" s="923">
        <f t="shared" si="68"/>
        <v>1668.1628447813121</v>
      </c>
      <c r="L25" s="311">
        <f t="shared" si="36"/>
        <v>768.16284478131206</v>
      </c>
      <c r="M25" s="923">
        <f t="shared" ref="M25:N25" si="69">M24</f>
        <v>900</v>
      </c>
      <c r="N25" s="923">
        <f t="shared" si="69"/>
        <v>1668.1628447813121</v>
      </c>
      <c r="O25" s="311">
        <f t="shared" si="37"/>
        <v>768.16284478131206</v>
      </c>
      <c r="P25" s="923">
        <f t="shared" ref="P25:Q25" si="70">P24</f>
        <v>900</v>
      </c>
      <c r="Q25" s="923">
        <f t="shared" si="70"/>
        <v>1668.1628447813121</v>
      </c>
      <c r="R25" s="312">
        <f t="shared" si="38"/>
        <v>768.16284478131206</v>
      </c>
      <c r="S25" s="297"/>
    </row>
    <row r="26" spans="1:19" x14ac:dyDescent="0.3">
      <c r="A26" s="1124" t="s">
        <v>315</v>
      </c>
      <c r="B26" s="1127" t="s">
        <v>13</v>
      </c>
      <c r="C26" s="289" t="s">
        <v>25</v>
      </c>
      <c r="D26" s="313"/>
      <c r="E26" s="314"/>
      <c r="F26" s="315"/>
      <c r="G26" s="293">
        <v>0</v>
      </c>
      <c r="H26" s="294">
        <v>0</v>
      </c>
      <c r="I26" s="317">
        <f t="shared" si="3"/>
        <v>0</v>
      </c>
      <c r="J26" s="316"/>
      <c r="K26" s="316"/>
      <c r="L26" s="317">
        <f t="shared" si="4"/>
        <v>0</v>
      </c>
      <c r="M26" s="316"/>
      <c r="N26" s="316"/>
      <c r="O26" s="317">
        <f t="shared" si="5"/>
        <v>0</v>
      </c>
      <c r="P26" s="316"/>
      <c r="Q26" s="318"/>
      <c r="R26" s="319">
        <f t="shared" si="6"/>
        <v>0</v>
      </c>
      <c r="S26" s="297"/>
    </row>
    <row r="27" spans="1:19" x14ac:dyDescent="0.3">
      <c r="A27" s="1125"/>
      <c r="B27" s="1128"/>
      <c r="C27" s="25" t="s">
        <v>26</v>
      </c>
      <c r="D27" s="320"/>
      <c r="E27" s="321"/>
      <c r="F27" s="322"/>
      <c r="G27" s="301">
        <v>0</v>
      </c>
      <c r="H27" s="302">
        <v>0</v>
      </c>
      <c r="I27" s="324">
        <f t="shared" si="3"/>
        <v>0</v>
      </c>
      <c r="J27" s="323"/>
      <c r="K27" s="323"/>
      <c r="L27" s="324">
        <f t="shared" si="4"/>
        <v>0</v>
      </c>
      <c r="M27" s="323"/>
      <c r="N27" s="323"/>
      <c r="O27" s="324">
        <f t="shared" si="5"/>
        <v>0</v>
      </c>
      <c r="P27" s="323"/>
      <c r="Q27" s="325"/>
      <c r="R27" s="326">
        <f t="shared" si="6"/>
        <v>0</v>
      </c>
      <c r="S27" s="297"/>
    </row>
    <row r="28" spans="1:19" x14ac:dyDescent="0.3">
      <c r="A28" s="1125"/>
      <c r="B28" s="1128"/>
      <c r="C28" s="25" t="s">
        <v>27</v>
      </c>
      <c r="D28" s="320"/>
      <c r="E28" s="321"/>
      <c r="F28" s="322"/>
      <c r="G28" s="301">
        <v>0</v>
      </c>
      <c r="H28" s="302">
        <v>0</v>
      </c>
      <c r="I28" s="324">
        <f t="shared" si="3"/>
        <v>0</v>
      </c>
      <c r="J28" s="323"/>
      <c r="K28" s="323"/>
      <c r="L28" s="324">
        <f t="shared" si="4"/>
        <v>0</v>
      </c>
      <c r="M28" s="323"/>
      <c r="N28" s="323"/>
      <c r="O28" s="324">
        <f t="shared" si="5"/>
        <v>0</v>
      </c>
      <c r="P28" s="323"/>
      <c r="Q28" s="325"/>
      <c r="R28" s="326">
        <f t="shared" si="6"/>
        <v>0</v>
      </c>
      <c r="S28" s="297"/>
    </row>
    <row r="29" spans="1:19" x14ac:dyDescent="0.3">
      <c r="A29" s="1125"/>
      <c r="B29" s="1128"/>
      <c r="C29" s="25" t="s">
        <v>28</v>
      </c>
      <c r="D29" s="320"/>
      <c r="E29" s="321"/>
      <c r="F29" s="322"/>
      <c r="G29" s="301">
        <v>0</v>
      </c>
      <c r="H29" s="302">
        <v>0</v>
      </c>
      <c r="I29" s="324">
        <f t="shared" si="3"/>
        <v>0</v>
      </c>
      <c r="J29" s="323"/>
      <c r="K29" s="323"/>
      <c r="L29" s="324">
        <f t="shared" si="4"/>
        <v>0</v>
      </c>
      <c r="M29" s="323"/>
      <c r="N29" s="323"/>
      <c r="O29" s="324">
        <f t="shared" si="5"/>
        <v>0</v>
      </c>
      <c r="P29" s="323"/>
      <c r="Q29" s="325"/>
      <c r="R29" s="326">
        <f t="shared" si="6"/>
        <v>0</v>
      </c>
      <c r="S29" s="297"/>
    </row>
    <row r="30" spans="1:19" x14ac:dyDescent="0.3">
      <c r="A30" s="1125"/>
      <c r="B30" s="1128"/>
      <c r="C30" s="25" t="s">
        <v>29</v>
      </c>
      <c r="D30" s="320"/>
      <c r="E30" s="321"/>
      <c r="F30" s="322"/>
      <c r="G30" s="301">
        <v>0</v>
      </c>
      <c r="H30" s="302">
        <v>0</v>
      </c>
      <c r="I30" s="324">
        <f t="shared" si="3"/>
        <v>0</v>
      </c>
      <c r="J30" s="323"/>
      <c r="K30" s="323"/>
      <c r="L30" s="324">
        <f t="shared" si="4"/>
        <v>0</v>
      </c>
      <c r="M30" s="323"/>
      <c r="N30" s="323"/>
      <c r="O30" s="324">
        <f t="shared" si="5"/>
        <v>0</v>
      </c>
      <c r="P30" s="323"/>
      <c r="Q30" s="325"/>
      <c r="R30" s="326">
        <f t="shared" si="6"/>
        <v>0</v>
      </c>
      <c r="S30" s="297"/>
    </row>
    <row r="31" spans="1:19" x14ac:dyDescent="0.3">
      <c r="A31" s="1125"/>
      <c r="B31" s="1128"/>
      <c r="C31" s="25" t="s">
        <v>30</v>
      </c>
      <c r="D31" s="320"/>
      <c r="E31" s="321"/>
      <c r="F31" s="322"/>
      <c r="G31" s="301">
        <v>0</v>
      </c>
      <c r="H31" s="302">
        <v>0</v>
      </c>
      <c r="I31" s="324">
        <f t="shared" si="3"/>
        <v>0</v>
      </c>
      <c r="J31" s="323"/>
      <c r="K31" s="323"/>
      <c r="L31" s="324">
        <f t="shared" si="4"/>
        <v>0</v>
      </c>
      <c r="M31" s="323"/>
      <c r="N31" s="323"/>
      <c r="O31" s="324">
        <f t="shared" si="5"/>
        <v>0</v>
      </c>
      <c r="P31" s="323"/>
      <c r="Q31" s="325"/>
      <c r="R31" s="326">
        <f t="shared" si="6"/>
        <v>0</v>
      </c>
      <c r="S31" s="297"/>
    </row>
    <row r="32" spans="1:19" x14ac:dyDescent="0.3">
      <c r="A32" s="1125"/>
      <c r="B32" s="1128"/>
      <c r="C32" s="25" t="s">
        <v>31</v>
      </c>
      <c r="D32" s="320"/>
      <c r="E32" s="321"/>
      <c r="F32" s="322"/>
      <c r="G32" s="301">
        <v>0</v>
      </c>
      <c r="H32" s="302">
        <v>0</v>
      </c>
      <c r="I32" s="324">
        <f t="shared" si="3"/>
        <v>0</v>
      </c>
      <c r="J32" s="323"/>
      <c r="K32" s="323"/>
      <c r="L32" s="324">
        <f t="shared" si="4"/>
        <v>0</v>
      </c>
      <c r="M32" s="323"/>
      <c r="N32" s="323"/>
      <c r="O32" s="324">
        <f t="shared" si="5"/>
        <v>0</v>
      </c>
      <c r="P32" s="323"/>
      <c r="Q32" s="325"/>
      <c r="R32" s="326">
        <f t="shared" si="6"/>
        <v>0</v>
      </c>
      <c r="S32" s="297"/>
    </row>
    <row r="33" spans="1:19" x14ac:dyDescent="0.3">
      <c r="A33" s="1125"/>
      <c r="B33" s="1128"/>
      <c r="C33" s="25" t="s">
        <v>32</v>
      </c>
      <c r="D33" s="320"/>
      <c r="E33" s="321"/>
      <c r="F33" s="322"/>
      <c r="G33" s="301">
        <v>0</v>
      </c>
      <c r="H33" s="302">
        <v>0</v>
      </c>
      <c r="I33" s="324">
        <f t="shared" si="3"/>
        <v>0</v>
      </c>
      <c r="J33" s="323"/>
      <c r="K33" s="323"/>
      <c r="L33" s="324">
        <f t="shared" si="4"/>
        <v>0</v>
      </c>
      <c r="M33" s="323"/>
      <c r="N33" s="323"/>
      <c r="O33" s="324">
        <f t="shared" si="5"/>
        <v>0</v>
      </c>
      <c r="P33" s="323"/>
      <c r="Q33" s="325"/>
      <c r="R33" s="326">
        <f t="shared" si="6"/>
        <v>0</v>
      </c>
      <c r="S33" s="297"/>
    </row>
    <row r="34" spans="1:19" x14ac:dyDescent="0.3">
      <c r="A34" s="1125"/>
      <c r="B34" s="1128"/>
      <c r="C34" s="25" t="s">
        <v>33</v>
      </c>
      <c r="D34" s="320"/>
      <c r="E34" s="321"/>
      <c r="F34" s="322"/>
      <c r="G34" s="301">
        <v>0</v>
      </c>
      <c r="H34" s="302">
        <v>0</v>
      </c>
      <c r="I34" s="324">
        <f t="shared" si="3"/>
        <v>0</v>
      </c>
      <c r="J34" s="323"/>
      <c r="K34" s="323"/>
      <c r="L34" s="324">
        <f t="shared" si="4"/>
        <v>0</v>
      </c>
      <c r="M34" s="323"/>
      <c r="N34" s="323"/>
      <c r="O34" s="324">
        <f t="shared" si="5"/>
        <v>0</v>
      </c>
      <c r="P34" s="323"/>
      <c r="Q34" s="325"/>
      <c r="R34" s="326">
        <f t="shared" si="6"/>
        <v>0</v>
      </c>
      <c r="S34" s="297"/>
    </row>
    <row r="35" spans="1:19" ht="15" thickBot="1" x14ac:dyDescent="0.35">
      <c r="A35" s="1126"/>
      <c r="B35" s="1129"/>
      <c r="C35" s="305" t="s">
        <v>34</v>
      </c>
      <c r="D35" s="327"/>
      <c r="E35" s="328"/>
      <c r="F35" s="329"/>
      <c r="G35" s="309">
        <v>0</v>
      </c>
      <c r="H35" s="310">
        <v>0</v>
      </c>
      <c r="I35" s="331">
        <f t="shared" si="3"/>
        <v>0</v>
      </c>
      <c r="J35" s="330"/>
      <c r="K35" s="330"/>
      <c r="L35" s="331">
        <f t="shared" si="4"/>
        <v>0</v>
      </c>
      <c r="M35" s="330"/>
      <c r="N35" s="330"/>
      <c r="O35" s="331">
        <f t="shared" si="5"/>
        <v>0</v>
      </c>
      <c r="P35" s="330"/>
      <c r="Q35" s="332"/>
      <c r="R35" s="333">
        <f t="shared" si="6"/>
        <v>0</v>
      </c>
      <c r="S35" s="297"/>
    </row>
    <row r="36" spans="1:19" s="335" customFormat="1" ht="14.25" customHeight="1" x14ac:dyDescent="0.3">
      <c r="A36" s="1124" t="s">
        <v>42</v>
      </c>
      <c r="B36" s="1127" t="s">
        <v>13</v>
      </c>
      <c r="C36" s="289" t="s">
        <v>25</v>
      </c>
      <c r="D36" s="313"/>
      <c r="E36" s="314"/>
      <c r="F36" s="315"/>
      <c r="G36" s="293">
        <v>0</v>
      </c>
      <c r="H36" s="294">
        <v>0</v>
      </c>
      <c r="I36" s="317">
        <f>H36-G36</f>
        <v>0</v>
      </c>
      <c r="J36" s="316"/>
      <c r="K36" s="316"/>
      <c r="L36" s="317">
        <f>K36-J36</f>
        <v>0</v>
      </c>
      <c r="M36" s="316"/>
      <c r="N36" s="316"/>
      <c r="O36" s="317">
        <f>N36-M36</f>
        <v>0</v>
      </c>
      <c r="P36" s="316"/>
      <c r="Q36" s="318"/>
      <c r="R36" s="319">
        <f>Q36-P36</f>
        <v>0</v>
      </c>
      <c r="S36" s="334"/>
    </row>
    <row r="37" spans="1:19" x14ac:dyDescent="0.3">
      <c r="A37" s="1125"/>
      <c r="B37" s="1128"/>
      <c r="C37" s="25" t="s">
        <v>26</v>
      </c>
      <c r="D37" s="320"/>
      <c r="E37" s="321"/>
      <c r="F37" s="322"/>
      <c r="G37" s="301">
        <v>0</v>
      </c>
      <c r="H37" s="302">
        <v>0</v>
      </c>
      <c r="I37" s="324">
        <f t="shared" ref="I37:I54" si="71">H37-G37</f>
        <v>0</v>
      </c>
      <c r="J37" s="323"/>
      <c r="K37" s="323"/>
      <c r="L37" s="324">
        <f t="shared" ref="L37:L54" si="72">K37-J37</f>
        <v>0</v>
      </c>
      <c r="M37" s="323"/>
      <c r="N37" s="323"/>
      <c r="O37" s="324">
        <f t="shared" ref="O37:O54" si="73">N37-M37</f>
        <v>0</v>
      </c>
      <c r="P37" s="323"/>
      <c r="Q37" s="325"/>
      <c r="R37" s="326">
        <f t="shared" ref="R37:R64" si="74">Q37-P37</f>
        <v>0</v>
      </c>
    </row>
    <row r="38" spans="1:19" x14ac:dyDescent="0.3">
      <c r="A38" s="1125"/>
      <c r="B38" s="1128"/>
      <c r="C38" s="25" t="s">
        <v>27</v>
      </c>
      <c r="D38" s="320"/>
      <c r="E38" s="321"/>
      <c r="F38" s="322"/>
      <c r="G38" s="301">
        <v>0</v>
      </c>
      <c r="H38" s="302">
        <v>0</v>
      </c>
      <c r="I38" s="324">
        <f t="shared" si="71"/>
        <v>0</v>
      </c>
      <c r="J38" s="323"/>
      <c r="K38" s="323"/>
      <c r="L38" s="324">
        <f t="shared" si="72"/>
        <v>0</v>
      </c>
      <c r="M38" s="323"/>
      <c r="N38" s="323"/>
      <c r="O38" s="324">
        <f t="shared" si="73"/>
        <v>0</v>
      </c>
      <c r="P38" s="323"/>
      <c r="Q38" s="325"/>
      <c r="R38" s="326">
        <f t="shared" si="74"/>
        <v>0</v>
      </c>
    </row>
    <row r="39" spans="1:19" x14ac:dyDescent="0.3">
      <c r="A39" s="1125"/>
      <c r="B39" s="1128"/>
      <c r="C39" s="25" t="s">
        <v>28</v>
      </c>
      <c r="D39" s="320"/>
      <c r="E39" s="321"/>
      <c r="F39" s="322"/>
      <c r="G39" s="301">
        <v>0</v>
      </c>
      <c r="H39" s="302">
        <v>0</v>
      </c>
      <c r="I39" s="324">
        <f t="shared" si="71"/>
        <v>0</v>
      </c>
      <c r="J39" s="323"/>
      <c r="K39" s="323"/>
      <c r="L39" s="324">
        <f t="shared" si="72"/>
        <v>0</v>
      </c>
      <c r="M39" s="323"/>
      <c r="N39" s="323"/>
      <c r="O39" s="324">
        <f t="shared" si="73"/>
        <v>0</v>
      </c>
      <c r="P39" s="323"/>
      <c r="Q39" s="325"/>
      <c r="R39" s="326">
        <f t="shared" si="74"/>
        <v>0</v>
      </c>
    </row>
    <row r="40" spans="1:19" x14ac:dyDescent="0.3">
      <c r="A40" s="1125"/>
      <c r="B40" s="1128"/>
      <c r="C40" s="25" t="s">
        <v>29</v>
      </c>
      <c r="D40" s="320"/>
      <c r="E40" s="321"/>
      <c r="F40" s="322"/>
      <c r="G40" s="301">
        <v>0</v>
      </c>
      <c r="H40" s="302">
        <v>0</v>
      </c>
      <c r="I40" s="324">
        <f t="shared" si="71"/>
        <v>0</v>
      </c>
      <c r="J40" s="323"/>
      <c r="K40" s="323"/>
      <c r="L40" s="324">
        <f t="shared" si="72"/>
        <v>0</v>
      </c>
      <c r="M40" s="323"/>
      <c r="N40" s="323"/>
      <c r="O40" s="324">
        <f t="shared" si="73"/>
        <v>0</v>
      </c>
      <c r="P40" s="323"/>
      <c r="Q40" s="325"/>
      <c r="R40" s="326">
        <f t="shared" si="74"/>
        <v>0</v>
      </c>
    </row>
    <row r="41" spans="1:19" x14ac:dyDescent="0.3">
      <c r="A41" s="1125"/>
      <c r="B41" s="1128"/>
      <c r="C41" s="25" t="s">
        <v>30</v>
      </c>
      <c r="D41" s="320"/>
      <c r="E41" s="321"/>
      <c r="F41" s="322"/>
      <c r="G41" s="301">
        <v>0</v>
      </c>
      <c r="H41" s="302">
        <v>0</v>
      </c>
      <c r="I41" s="324">
        <f t="shared" si="71"/>
        <v>0</v>
      </c>
      <c r="J41" s="323"/>
      <c r="K41" s="323"/>
      <c r="L41" s="324">
        <f t="shared" si="72"/>
        <v>0</v>
      </c>
      <c r="M41" s="323"/>
      <c r="N41" s="323"/>
      <c r="O41" s="324">
        <f t="shared" si="73"/>
        <v>0</v>
      </c>
      <c r="P41" s="323"/>
      <c r="Q41" s="325"/>
      <c r="R41" s="326">
        <f t="shared" si="74"/>
        <v>0</v>
      </c>
    </row>
    <row r="42" spans="1:19" x14ac:dyDescent="0.3">
      <c r="A42" s="1125"/>
      <c r="B42" s="1128"/>
      <c r="C42" s="25" t="s">
        <v>31</v>
      </c>
      <c r="D42" s="320"/>
      <c r="E42" s="321"/>
      <c r="F42" s="322"/>
      <c r="G42" s="301">
        <v>0</v>
      </c>
      <c r="H42" s="302">
        <v>0</v>
      </c>
      <c r="I42" s="324">
        <f t="shared" si="71"/>
        <v>0</v>
      </c>
      <c r="J42" s="323"/>
      <c r="K42" s="323"/>
      <c r="L42" s="324">
        <f t="shared" si="72"/>
        <v>0</v>
      </c>
      <c r="M42" s="323"/>
      <c r="N42" s="323"/>
      <c r="O42" s="324">
        <f t="shared" si="73"/>
        <v>0</v>
      </c>
      <c r="P42" s="323"/>
      <c r="Q42" s="325"/>
      <c r="R42" s="326">
        <f t="shared" si="74"/>
        <v>0</v>
      </c>
    </row>
    <row r="43" spans="1:19" x14ac:dyDescent="0.3">
      <c r="A43" s="1125"/>
      <c r="B43" s="1128"/>
      <c r="C43" s="25" t="s">
        <v>32</v>
      </c>
      <c r="D43" s="320"/>
      <c r="E43" s="321"/>
      <c r="F43" s="322"/>
      <c r="G43" s="301">
        <v>0</v>
      </c>
      <c r="H43" s="302">
        <v>0</v>
      </c>
      <c r="I43" s="324">
        <f t="shared" si="71"/>
        <v>0</v>
      </c>
      <c r="J43" s="323"/>
      <c r="K43" s="323"/>
      <c r="L43" s="324">
        <f t="shared" si="72"/>
        <v>0</v>
      </c>
      <c r="M43" s="323"/>
      <c r="N43" s="323"/>
      <c r="O43" s="324">
        <f t="shared" si="73"/>
        <v>0</v>
      </c>
      <c r="P43" s="323"/>
      <c r="Q43" s="325"/>
      <c r="R43" s="326">
        <f t="shared" si="74"/>
        <v>0</v>
      </c>
    </row>
    <row r="44" spans="1:19" x14ac:dyDescent="0.3">
      <c r="A44" s="1125"/>
      <c r="B44" s="1128"/>
      <c r="C44" s="25" t="s">
        <v>33</v>
      </c>
      <c r="D44" s="320"/>
      <c r="E44" s="321"/>
      <c r="F44" s="322"/>
      <c r="G44" s="301">
        <v>0</v>
      </c>
      <c r="H44" s="302">
        <v>0</v>
      </c>
      <c r="I44" s="324">
        <f t="shared" si="71"/>
        <v>0</v>
      </c>
      <c r="J44" s="323"/>
      <c r="K44" s="323"/>
      <c r="L44" s="324">
        <f t="shared" si="72"/>
        <v>0</v>
      </c>
      <c r="M44" s="323"/>
      <c r="N44" s="323"/>
      <c r="O44" s="324">
        <f t="shared" si="73"/>
        <v>0</v>
      </c>
      <c r="P44" s="323"/>
      <c r="Q44" s="325"/>
      <c r="R44" s="326">
        <f t="shared" si="74"/>
        <v>0</v>
      </c>
    </row>
    <row r="45" spans="1:19" ht="15" thickBot="1" x14ac:dyDescent="0.35">
      <c r="A45" s="1126"/>
      <c r="B45" s="1129"/>
      <c r="C45" s="305" t="s">
        <v>34</v>
      </c>
      <c r="D45" s="327"/>
      <c r="E45" s="328"/>
      <c r="F45" s="329"/>
      <c r="G45" s="309">
        <v>0</v>
      </c>
      <c r="H45" s="310">
        <v>0</v>
      </c>
      <c r="I45" s="331">
        <f t="shared" si="71"/>
        <v>0</v>
      </c>
      <c r="J45" s="330"/>
      <c r="K45" s="330"/>
      <c r="L45" s="331">
        <f t="shared" si="72"/>
        <v>0</v>
      </c>
      <c r="M45" s="330"/>
      <c r="N45" s="330"/>
      <c r="O45" s="331">
        <f t="shared" si="73"/>
        <v>0</v>
      </c>
      <c r="P45" s="330"/>
      <c r="Q45" s="332"/>
      <c r="R45" s="333">
        <f t="shared" si="74"/>
        <v>0</v>
      </c>
    </row>
    <row r="46" spans="1:19" s="335" customFormat="1" ht="14.4" customHeight="1" x14ac:dyDescent="0.3">
      <c r="A46" s="1124" t="s">
        <v>181</v>
      </c>
      <c r="B46" s="1127" t="s">
        <v>176</v>
      </c>
      <c r="C46" s="289" t="s">
        <v>25</v>
      </c>
      <c r="D46" s="313"/>
      <c r="E46" s="314"/>
      <c r="F46" s="315"/>
      <c r="G46" s="930">
        <f>250*'Počet inšpektorov'!$C$8/G6*8*('TCO TO BE- SW'!$G$177+'TCO TO BE - HW'!$F$86)/('TCO TO BE- SW'!$E$177+'TCO TO BE - HW'!$E$86)</f>
        <v>75.580506701786661</v>
      </c>
      <c r="H46" s="931">
        <f>250*'Počet inšpektorov'!$C$8/H6*8*('TCO TO BE- SW'!$G$177+'TCO TO BE - HW'!$F$86)/('TCO TO BE- SW'!$E$177+'TCO TO BE - HW'!$E$86)</f>
        <v>75.580506701786661</v>
      </c>
      <c r="I46" s="317">
        <f t="shared" si="71"/>
        <v>0</v>
      </c>
      <c r="J46" s="927">
        <f>250*'Počet inšpektorov'!$C$8/G6*8*('TCO TO BE- SW'!$H$177+'TCO TO BE - HW'!$G$86)/('TCO TO BE- SW'!$E$177+'TCO TO BE - HW'!$E$86)</f>
        <v>5.1715898779569978</v>
      </c>
      <c r="K46" s="927">
        <f>250*'Počet inšpektorov'!$C$8/H6*8*('TCO TO BE- SW'!$H$177+'TCO TO BE - HW'!$G$86)/('TCO TO BE- SW'!$E$177+'TCO TO BE - HW'!$E$86)</f>
        <v>5.1715898779569978</v>
      </c>
      <c r="L46" s="317">
        <f t="shared" si="72"/>
        <v>0</v>
      </c>
      <c r="M46" s="927">
        <f>250*'Počet inšpektorov'!$C$8/J6*8*('TCO TO BE- SW'!$I$177+'TCO TO BE - HW'!$H$86)/('TCO TO BE- SW'!$E$177+'TCO TO BE - HW'!$E$86)</f>
        <v>2.5732601794985612</v>
      </c>
      <c r="N46" s="927">
        <f>250*'Počet inšpektorov'!$C$8/K6*8*('TCO TO BE- SW'!$I$177+'TCO TO BE - HW'!$H$86)/('TCO TO BE- SW'!$E$177+'TCO TO BE - HW'!$E$86)</f>
        <v>2.5732601794985612</v>
      </c>
      <c r="O46" s="317">
        <f t="shared" si="73"/>
        <v>0</v>
      </c>
      <c r="P46" s="927">
        <f>250*'Počet inšpektorov'!$C$8/M6*8*('TCO TO BE- SW'!$J$177+'TCO TO BE - HW'!$I$86)/('TCO TO BE- SW'!$E$177+'TCO TO BE - HW'!$E$86)</f>
        <v>0.16467708806880729</v>
      </c>
      <c r="Q46" s="927">
        <f>250*'Počet inšpektorov'!$C$8/N6*8*('TCO TO BE- SW'!$J$177+'TCO TO BE - HW'!$I$86)/('TCO TO BE- SW'!$E$177+'TCO TO BE - HW'!$E$86)</f>
        <v>0.16467708806880729</v>
      </c>
      <c r="R46" s="319">
        <f t="shared" si="74"/>
        <v>0</v>
      </c>
      <c r="S46" s="334">
        <f>'Analyza citlivosti - AgendovéIS'!N7</f>
        <v>0</v>
      </c>
    </row>
    <row r="47" spans="1:19" x14ac:dyDescent="0.3">
      <c r="A47" s="1125"/>
      <c r="B47" s="1128"/>
      <c r="C47" s="25" t="s">
        <v>26</v>
      </c>
      <c r="D47" s="320"/>
      <c r="E47" s="321"/>
      <c r="F47" s="322"/>
      <c r="G47" s="932">
        <f>G46</f>
        <v>75.580506701786661</v>
      </c>
      <c r="H47" s="933">
        <f>H46</f>
        <v>75.580506701786661</v>
      </c>
      <c r="I47" s="324">
        <f t="shared" si="71"/>
        <v>0</v>
      </c>
      <c r="J47" s="928">
        <f>J46</f>
        <v>5.1715898779569978</v>
      </c>
      <c r="K47" s="928">
        <f>K46</f>
        <v>5.1715898779569978</v>
      </c>
      <c r="L47" s="324">
        <f t="shared" si="72"/>
        <v>0</v>
      </c>
      <c r="M47" s="928">
        <f>M46</f>
        <v>2.5732601794985612</v>
      </c>
      <c r="N47" s="928">
        <f>N46</f>
        <v>2.5732601794985612</v>
      </c>
      <c r="O47" s="324">
        <f t="shared" si="73"/>
        <v>0</v>
      </c>
      <c r="P47" s="928">
        <f>P46</f>
        <v>0.16467708806880729</v>
      </c>
      <c r="Q47" s="928">
        <f>Q46</f>
        <v>0.16467708806880729</v>
      </c>
      <c r="R47" s="326">
        <f t="shared" si="74"/>
        <v>0</v>
      </c>
    </row>
    <row r="48" spans="1:19" x14ac:dyDescent="0.3">
      <c r="A48" s="1125"/>
      <c r="B48" s="1128"/>
      <c r="C48" s="25" t="s">
        <v>27</v>
      </c>
      <c r="D48" s="320"/>
      <c r="E48" s="321"/>
      <c r="F48" s="322"/>
      <c r="G48" s="932">
        <f t="shared" ref="G48:G55" si="75">G47</f>
        <v>75.580506701786661</v>
      </c>
      <c r="H48" s="933">
        <f>250*'Počet inšpektorov'!$C$8/H8*8*('TCO TO BE- SW'!$G$177+'TCO TO BE - HW'!$F$86)/('TCO TO BE- SW'!$E$177+'TCO TO BE - HW'!$E$86)</f>
        <v>48.189196384216721</v>
      </c>
      <c r="I48" s="324">
        <f t="shared" si="71"/>
        <v>-27.391310317569939</v>
      </c>
      <c r="J48" s="928">
        <f t="shared" ref="J48:K55" si="76">J47</f>
        <v>5.1715898779569978</v>
      </c>
      <c r="K48" s="928">
        <f>250*'Počet inšpektorov'!$C$8/H8*8*('TCO TO BE- SW'!$H$177+'TCO TO BE - HW'!$G$86)/('TCO TO BE- SW'!$E$177+'TCO TO BE - HW'!$E$86)</f>
        <v>3.2973417501791626</v>
      </c>
      <c r="L48" s="324">
        <f t="shared" si="72"/>
        <v>-1.8742481277778351</v>
      </c>
      <c r="M48" s="928">
        <f t="shared" ref="M48:N55" si="77">M47</f>
        <v>2.5732601794985612</v>
      </c>
      <c r="N48" s="928">
        <f>250*'Počet inšpektorov'!$C$8/K8*8*('TCO TO BE- SW'!$I$177+'TCO TO BE - HW'!$H$86)/('TCO TO BE- SW'!$E$177+'TCO TO BE - HW'!$E$86)</f>
        <v>1.6406788674600086</v>
      </c>
      <c r="O48" s="324">
        <f t="shared" si="73"/>
        <v>-0.93258131203855266</v>
      </c>
      <c r="P48" s="928">
        <f t="shared" ref="P48:Q55" si="78">P47</f>
        <v>0.16467708806880729</v>
      </c>
      <c r="Q48" s="928">
        <f>250*'Počet inšpektorov'!$C$8/N8*8*('TCO TO BE- SW'!$J$177+'TCO TO BE - HW'!$I$86)/('TCO TO BE- SW'!$E$177+'TCO TO BE - HW'!$E$86)</f>
        <v>0.10499607482442447</v>
      </c>
      <c r="R48" s="326">
        <f t="shared" si="74"/>
        <v>-5.9681013244382825E-2</v>
      </c>
    </row>
    <row r="49" spans="1:19" x14ac:dyDescent="0.3">
      <c r="A49" s="1125"/>
      <c r="B49" s="1128"/>
      <c r="C49" s="25" t="s">
        <v>28</v>
      </c>
      <c r="D49" s="320"/>
      <c r="E49" s="321"/>
      <c r="F49" s="322"/>
      <c r="G49" s="932">
        <f t="shared" si="75"/>
        <v>75.580506701786661</v>
      </c>
      <c r="H49" s="933">
        <f>H48</f>
        <v>48.189196384216721</v>
      </c>
      <c r="I49" s="324">
        <f t="shared" si="71"/>
        <v>-27.391310317569939</v>
      </c>
      <c r="J49" s="928">
        <f t="shared" si="76"/>
        <v>5.1715898779569978</v>
      </c>
      <c r="K49" s="928">
        <f>K48</f>
        <v>3.2973417501791626</v>
      </c>
      <c r="L49" s="324">
        <f t="shared" si="72"/>
        <v>-1.8742481277778351</v>
      </c>
      <c r="M49" s="928">
        <f t="shared" si="77"/>
        <v>2.5732601794985612</v>
      </c>
      <c r="N49" s="928">
        <f>N48</f>
        <v>1.6406788674600086</v>
      </c>
      <c r="O49" s="324">
        <f t="shared" si="73"/>
        <v>-0.93258131203855266</v>
      </c>
      <c r="P49" s="928">
        <f t="shared" si="78"/>
        <v>0.16467708806880729</v>
      </c>
      <c r="Q49" s="928">
        <f>Q48</f>
        <v>0.10499607482442447</v>
      </c>
      <c r="R49" s="326">
        <f t="shared" si="74"/>
        <v>-5.9681013244382825E-2</v>
      </c>
    </row>
    <row r="50" spans="1:19" x14ac:dyDescent="0.3">
      <c r="A50" s="1125"/>
      <c r="B50" s="1128"/>
      <c r="C50" s="25" t="s">
        <v>29</v>
      </c>
      <c r="D50" s="320"/>
      <c r="E50" s="321"/>
      <c r="F50" s="322"/>
      <c r="G50" s="932">
        <f t="shared" si="75"/>
        <v>75.580506701786661</v>
      </c>
      <c r="H50" s="933">
        <f t="shared" ref="H50:H55" si="79">H49</f>
        <v>48.189196384216721</v>
      </c>
      <c r="I50" s="324">
        <f t="shared" si="71"/>
        <v>-27.391310317569939</v>
      </c>
      <c r="J50" s="928">
        <f t="shared" si="76"/>
        <v>5.1715898779569978</v>
      </c>
      <c r="K50" s="928">
        <f t="shared" si="76"/>
        <v>3.2973417501791626</v>
      </c>
      <c r="L50" s="324">
        <f t="shared" si="72"/>
        <v>-1.8742481277778351</v>
      </c>
      <c r="M50" s="928">
        <f t="shared" si="77"/>
        <v>2.5732601794985612</v>
      </c>
      <c r="N50" s="928">
        <f t="shared" si="77"/>
        <v>1.6406788674600086</v>
      </c>
      <c r="O50" s="324">
        <f t="shared" si="73"/>
        <v>-0.93258131203855266</v>
      </c>
      <c r="P50" s="928">
        <f t="shared" si="78"/>
        <v>0.16467708806880729</v>
      </c>
      <c r="Q50" s="928">
        <f t="shared" si="78"/>
        <v>0.10499607482442447</v>
      </c>
      <c r="R50" s="326">
        <f t="shared" si="74"/>
        <v>-5.9681013244382825E-2</v>
      </c>
    </row>
    <row r="51" spans="1:19" x14ac:dyDescent="0.3">
      <c r="A51" s="1125"/>
      <c r="B51" s="1128"/>
      <c r="C51" s="25" t="s">
        <v>30</v>
      </c>
      <c r="D51" s="320"/>
      <c r="E51" s="321"/>
      <c r="F51" s="322"/>
      <c r="G51" s="932">
        <f t="shared" si="75"/>
        <v>75.580506701786661</v>
      </c>
      <c r="H51" s="933">
        <f t="shared" si="79"/>
        <v>48.189196384216721</v>
      </c>
      <c r="I51" s="324">
        <f t="shared" si="71"/>
        <v>-27.391310317569939</v>
      </c>
      <c r="J51" s="928">
        <f t="shared" si="76"/>
        <v>5.1715898779569978</v>
      </c>
      <c r="K51" s="928">
        <f t="shared" si="76"/>
        <v>3.2973417501791626</v>
      </c>
      <c r="L51" s="324">
        <f t="shared" si="72"/>
        <v>-1.8742481277778351</v>
      </c>
      <c r="M51" s="928">
        <f t="shared" si="77"/>
        <v>2.5732601794985612</v>
      </c>
      <c r="N51" s="928">
        <f t="shared" si="77"/>
        <v>1.6406788674600086</v>
      </c>
      <c r="O51" s="324">
        <f t="shared" si="73"/>
        <v>-0.93258131203855266</v>
      </c>
      <c r="P51" s="928">
        <f t="shared" si="78"/>
        <v>0.16467708806880729</v>
      </c>
      <c r="Q51" s="928">
        <f t="shared" si="78"/>
        <v>0.10499607482442447</v>
      </c>
      <c r="R51" s="326">
        <f t="shared" si="74"/>
        <v>-5.9681013244382825E-2</v>
      </c>
    </row>
    <row r="52" spans="1:19" x14ac:dyDescent="0.3">
      <c r="A52" s="1125"/>
      <c r="B52" s="1128"/>
      <c r="C52" s="25" t="s">
        <v>31</v>
      </c>
      <c r="D52" s="320"/>
      <c r="E52" s="321"/>
      <c r="F52" s="322"/>
      <c r="G52" s="932">
        <f t="shared" si="75"/>
        <v>75.580506701786661</v>
      </c>
      <c r="H52" s="933">
        <f t="shared" si="79"/>
        <v>48.189196384216721</v>
      </c>
      <c r="I52" s="324">
        <f t="shared" si="71"/>
        <v>-27.391310317569939</v>
      </c>
      <c r="J52" s="928">
        <f t="shared" si="76"/>
        <v>5.1715898779569978</v>
      </c>
      <c r="K52" s="928">
        <f t="shared" si="76"/>
        <v>3.2973417501791626</v>
      </c>
      <c r="L52" s="324">
        <f t="shared" si="72"/>
        <v>-1.8742481277778351</v>
      </c>
      <c r="M52" s="928">
        <f t="shared" si="77"/>
        <v>2.5732601794985612</v>
      </c>
      <c r="N52" s="928">
        <f t="shared" si="77"/>
        <v>1.6406788674600086</v>
      </c>
      <c r="O52" s="324">
        <f t="shared" si="73"/>
        <v>-0.93258131203855266</v>
      </c>
      <c r="P52" s="928">
        <f t="shared" si="78"/>
        <v>0.16467708806880729</v>
      </c>
      <c r="Q52" s="928">
        <f t="shared" si="78"/>
        <v>0.10499607482442447</v>
      </c>
      <c r="R52" s="326">
        <f t="shared" si="74"/>
        <v>-5.9681013244382825E-2</v>
      </c>
    </row>
    <row r="53" spans="1:19" x14ac:dyDescent="0.3">
      <c r="A53" s="1125"/>
      <c r="B53" s="1128"/>
      <c r="C53" s="25" t="s">
        <v>32</v>
      </c>
      <c r="D53" s="320"/>
      <c r="E53" s="321"/>
      <c r="F53" s="322"/>
      <c r="G53" s="932">
        <f t="shared" si="75"/>
        <v>75.580506701786661</v>
      </c>
      <c r="H53" s="933">
        <f t="shared" si="79"/>
        <v>48.189196384216721</v>
      </c>
      <c r="I53" s="324">
        <f t="shared" si="71"/>
        <v>-27.391310317569939</v>
      </c>
      <c r="J53" s="928">
        <f t="shared" si="76"/>
        <v>5.1715898779569978</v>
      </c>
      <c r="K53" s="928">
        <f t="shared" si="76"/>
        <v>3.2973417501791626</v>
      </c>
      <c r="L53" s="324">
        <f t="shared" si="72"/>
        <v>-1.8742481277778351</v>
      </c>
      <c r="M53" s="928">
        <f t="shared" si="77"/>
        <v>2.5732601794985612</v>
      </c>
      <c r="N53" s="928">
        <f t="shared" si="77"/>
        <v>1.6406788674600086</v>
      </c>
      <c r="O53" s="324">
        <f t="shared" si="73"/>
        <v>-0.93258131203855266</v>
      </c>
      <c r="P53" s="928">
        <f t="shared" si="78"/>
        <v>0.16467708806880729</v>
      </c>
      <c r="Q53" s="928">
        <f t="shared" si="78"/>
        <v>0.10499607482442447</v>
      </c>
      <c r="R53" s="326">
        <f t="shared" si="74"/>
        <v>-5.9681013244382825E-2</v>
      </c>
    </row>
    <row r="54" spans="1:19" x14ac:dyDescent="0.3">
      <c r="A54" s="1125"/>
      <c r="B54" s="1128"/>
      <c r="C54" s="25" t="s">
        <v>33</v>
      </c>
      <c r="D54" s="320"/>
      <c r="E54" s="321"/>
      <c r="F54" s="322"/>
      <c r="G54" s="932">
        <f t="shared" si="75"/>
        <v>75.580506701786661</v>
      </c>
      <c r="H54" s="933">
        <f t="shared" si="79"/>
        <v>48.189196384216721</v>
      </c>
      <c r="I54" s="324">
        <f t="shared" si="71"/>
        <v>-27.391310317569939</v>
      </c>
      <c r="J54" s="928">
        <f t="shared" si="76"/>
        <v>5.1715898779569978</v>
      </c>
      <c r="K54" s="928">
        <f t="shared" si="76"/>
        <v>3.2973417501791626</v>
      </c>
      <c r="L54" s="324">
        <f t="shared" si="72"/>
        <v>-1.8742481277778351</v>
      </c>
      <c r="M54" s="928">
        <f t="shared" si="77"/>
        <v>2.5732601794985612</v>
      </c>
      <c r="N54" s="928">
        <f t="shared" si="77"/>
        <v>1.6406788674600086</v>
      </c>
      <c r="O54" s="324">
        <f t="shared" si="73"/>
        <v>-0.93258131203855266</v>
      </c>
      <c r="P54" s="928">
        <f t="shared" si="78"/>
        <v>0.16467708806880729</v>
      </c>
      <c r="Q54" s="928">
        <f t="shared" si="78"/>
        <v>0.10499607482442447</v>
      </c>
      <c r="R54" s="326">
        <f t="shared" si="74"/>
        <v>-5.9681013244382825E-2</v>
      </c>
    </row>
    <row r="55" spans="1:19" ht="15" thickBot="1" x14ac:dyDescent="0.35">
      <c r="A55" s="1126"/>
      <c r="B55" s="1129"/>
      <c r="C55" s="305" t="s">
        <v>34</v>
      </c>
      <c r="D55" s="327"/>
      <c r="E55" s="328"/>
      <c r="F55" s="329"/>
      <c r="G55" s="934">
        <f t="shared" si="75"/>
        <v>75.580506701786661</v>
      </c>
      <c r="H55" s="935">
        <f t="shared" si="79"/>
        <v>48.189196384216721</v>
      </c>
      <c r="I55" s="331">
        <f>H55-G55</f>
        <v>-27.391310317569939</v>
      </c>
      <c r="J55" s="929">
        <f t="shared" si="76"/>
        <v>5.1715898779569978</v>
      </c>
      <c r="K55" s="929">
        <f t="shared" si="76"/>
        <v>3.2973417501791626</v>
      </c>
      <c r="L55" s="331">
        <f>K55-J55</f>
        <v>-1.8742481277778351</v>
      </c>
      <c r="M55" s="929">
        <f t="shared" si="77"/>
        <v>2.5732601794985612</v>
      </c>
      <c r="N55" s="929">
        <f t="shared" si="77"/>
        <v>1.6406788674600086</v>
      </c>
      <c r="O55" s="331">
        <f>N55-M55</f>
        <v>-0.93258131203855266</v>
      </c>
      <c r="P55" s="929">
        <f t="shared" si="78"/>
        <v>0.16467708806880729</v>
      </c>
      <c r="Q55" s="929">
        <f t="shared" si="78"/>
        <v>0.10499607482442447</v>
      </c>
      <c r="R55" s="333">
        <f>Q55-P55</f>
        <v>-5.9681013244382825E-2</v>
      </c>
    </row>
    <row r="56" spans="1:19" s="335" customFormat="1" ht="14.4" customHeight="1" x14ac:dyDescent="0.3">
      <c r="A56" s="1124" t="s">
        <v>180</v>
      </c>
      <c r="B56" s="1127" t="s">
        <v>38</v>
      </c>
      <c r="C56" s="289" t="s">
        <v>25</v>
      </c>
      <c r="D56" s="313">
        <f t="shared" ref="D56:D65" si="80">SUM(G56,J56,M56,P56)</f>
        <v>0</v>
      </c>
      <c r="E56" s="314">
        <f t="shared" ref="E56:E65" si="81">SUM(H56,K56,N56,Q56)</f>
        <v>0</v>
      </c>
      <c r="F56" s="315">
        <f>D56-E56</f>
        <v>0</v>
      </c>
      <c r="G56" s="293">
        <v>0</v>
      </c>
      <c r="H56" s="294">
        <v>0</v>
      </c>
      <c r="I56" s="317">
        <f t="shared" ref="I56:I64" si="82">H56-G56</f>
        <v>0</v>
      </c>
      <c r="J56" s="316"/>
      <c r="K56" s="316"/>
      <c r="L56" s="317">
        <f t="shared" ref="L56:L64" si="83">K56-J56</f>
        <v>0</v>
      </c>
      <c r="M56" s="316"/>
      <c r="N56" s="316"/>
      <c r="O56" s="317">
        <f t="shared" ref="O56:O64" si="84">N56-M56</f>
        <v>0</v>
      </c>
      <c r="P56" s="316">
        <v>0</v>
      </c>
      <c r="Q56" s="318">
        <v>0</v>
      </c>
      <c r="R56" s="319">
        <f t="shared" si="74"/>
        <v>0</v>
      </c>
      <c r="S56" s="334">
        <f>'Analyza citlivosti - AgendovéIS'!Q7</f>
        <v>0</v>
      </c>
    </row>
    <row r="57" spans="1:19" x14ac:dyDescent="0.3">
      <c r="A57" s="1125"/>
      <c r="B57" s="1128"/>
      <c r="C57" s="25" t="s">
        <v>26</v>
      </c>
      <c r="D57" s="320">
        <f t="shared" si="80"/>
        <v>0</v>
      </c>
      <c r="E57" s="321">
        <f t="shared" si="81"/>
        <v>0</v>
      </c>
      <c r="F57" s="322">
        <f t="shared" ref="F57:F65" si="85">D57-E57</f>
        <v>0</v>
      </c>
      <c r="G57" s="301">
        <v>0</v>
      </c>
      <c r="H57" s="302">
        <v>0</v>
      </c>
      <c r="I57" s="324">
        <f t="shared" si="82"/>
        <v>0</v>
      </c>
      <c r="J57" s="323"/>
      <c r="K57" s="323"/>
      <c r="L57" s="324">
        <f t="shared" si="83"/>
        <v>0</v>
      </c>
      <c r="M57" s="323"/>
      <c r="N57" s="323"/>
      <c r="O57" s="324">
        <f t="shared" si="84"/>
        <v>0</v>
      </c>
      <c r="P57" s="323">
        <v>0</v>
      </c>
      <c r="Q57" s="325">
        <v>0</v>
      </c>
      <c r="R57" s="326">
        <f t="shared" si="74"/>
        <v>0</v>
      </c>
    </row>
    <row r="58" spans="1:19" x14ac:dyDescent="0.3">
      <c r="A58" s="1125"/>
      <c r="B58" s="1128"/>
      <c r="C58" s="25" t="s">
        <v>27</v>
      </c>
      <c r="D58" s="320">
        <f t="shared" si="80"/>
        <v>0</v>
      </c>
      <c r="E58" s="321">
        <f t="shared" si="81"/>
        <v>0</v>
      </c>
      <c r="F58" s="322">
        <f t="shared" si="85"/>
        <v>0</v>
      </c>
      <c r="G58" s="301">
        <v>0</v>
      </c>
      <c r="H58" s="302">
        <v>0</v>
      </c>
      <c r="I58" s="324">
        <f t="shared" si="82"/>
        <v>0</v>
      </c>
      <c r="J58" s="323"/>
      <c r="K58" s="323"/>
      <c r="L58" s="324">
        <f t="shared" si="83"/>
        <v>0</v>
      </c>
      <c r="M58" s="323"/>
      <c r="N58" s="323"/>
      <c r="O58" s="324">
        <f t="shared" si="84"/>
        <v>0</v>
      </c>
      <c r="P58" s="323">
        <v>0</v>
      </c>
      <c r="Q58" s="325">
        <v>0</v>
      </c>
      <c r="R58" s="326">
        <f t="shared" si="74"/>
        <v>0</v>
      </c>
    </row>
    <row r="59" spans="1:19" x14ac:dyDescent="0.3">
      <c r="A59" s="1125"/>
      <c r="B59" s="1128"/>
      <c r="C59" s="25" t="s">
        <v>28</v>
      </c>
      <c r="D59" s="320">
        <f t="shared" si="80"/>
        <v>0</v>
      </c>
      <c r="E59" s="321">
        <f t="shared" si="81"/>
        <v>0</v>
      </c>
      <c r="F59" s="322">
        <f t="shared" si="85"/>
        <v>0</v>
      </c>
      <c r="G59" s="301">
        <v>0</v>
      </c>
      <c r="H59" s="302">
        <v>0</v>
      </c>
      <c r="I59" s="324">
        <f t="shared" si="82"/>
        <v>0</v>
      </c>
      <c r="J59" s="323"/>
      <c r="K59" s="323"/>
      <c r="L59" s="324">
        <f t="shared" si="83"/>
        <v>0</v>
      </c>
      <c r="M59" s="323"/>
      <c r="N59" s="323"/>
      <c r="O59" s="324">
        <f t="shared" si="84"/>
        <v>0</v>
      </c>
      <c r="P59" s="323">
        <v>0</v>
      </c>
      <c r="Q59" s="325">
        <v>0</v>
      </c>
      <c r="R59" s="326">
        <f t="shared" si="74"/>
        <v>0</v>
      </c>
    </row>
    <row r="60" spans="1:19" x14ac:dyDescent="0.3">
      <c r="A60" s="1125"/>
      <c r="B60" s="1128"/>
      <c r="C60" s="25" t="s">
        <v>29</v>
      </c>
      <c r="D60" s="320">
        <f t="shared" si="80"/>
        <v>0</v>
      </c>
      <c r="E60" s="321">
        <f t="shared" si="81"/>
        <v>0</v>
      </c>
      <c r="F60" s="322">
        <f t="shared" si="85"/>
        <v>0</v>
      </c>
      <c r="G60" s="301">
        <v>0</v>
      </c>
      <c r="H60" s="302">
        <v>0</v>
      </c>
      <c r="I60" s="324">
        <f t="shared" si="82"/>
        <v>0</v>
      </c>
      <c r="J60" s="323"/>
      <c r="K60" s="323"/>
      <c r="L60" s="324">
        <f t="shared" si="83"/>
        <v>0</v>
      </c>
      <c r="M60" s="323"/>
      <c r="N60" s="323"/>
      <c r="O60" s="324">
        <f t="shared" si="84"/>
        <v>0</v>
      </c>
      <c r="P60" s="323">
        <v>0</v>
      </c>
      <c r="Q60" s="325">
        <v>0</v>
      </c>
      <c r="R60" s="326">
        <f t="shared" si="74"/>
        <v>0</v>
      </c>
    </row>
    <row r="61" spans="1:19" x14ac:dyDescent="0.3">
      <c r="A61" s="1125"/>
      <c r="B61" s="1128"/>
      <c r="C61" s="25" t="s">
        <v>30</v>
      </c>
      <c r="D61" s="320">
        <f t="shared" si="80"/>
        <v>0</v>
      </c>
      <c r="E61" s="321">
        <f t="shared" si="81"/>
        <v>0</v>
      </c>
      <c r="F61" s="322">
        <f t="shared" si="85"/>
        <v>0</v>
      </c>
      <c r="G61" s="301">
        <v>0</v>
      </c>
      <c r="H61" s="302">
        <v>0</v>
      </c>
      <c r="I61" s="324">
        <f t="shared" si="82"/>
        <v>0</v>
      </c>
      <c r="J61" s="323"/>
      <c r="K61" s="323"/>
      <c r="L61" s="324">
        <f t="shared" si="83"/>
        <v>0</v>
      </c>
      <c r="M61" s="323"/>
      <c r="N61" s="323"/>
      <c r="O61" s="324">
        <f t="shared" si="84"/>
        <v>0</v>
      </c>
      <c r="P61" s="323">
        <v>0</v>
      </c>
      <c r="Q61" s="325">
        <v>0</v>
      </c>
      <c r="R61" s="326">
        <f t="shared" si="74"/>
        <v>0</v>
      </c>
    </row>
    <row r="62" spans="1:19" x14ac:dyDescent="0.3">
      <c r="A62" s="1125"/>
      <c r="B62" s="1128"/>
      <c r="C62" s="25" t="s">
        <v>31</v>
      </c>
      <c r="D62" s="320">
        <f t="shared" si="80"/>
        <v>0</v>
      </c>
      <c r="E62" s="321">
        <f t="shared" si="81"/>
        <v>0</v>
      </c>
      <c r="F62" s="322">
        <f t="shared" si="85"/>
        <v>0</v>
      </c>
      <c r="G62" s="301">
        <v>0</v>
      </c>
      <c r="H62" s="302">
        <v>0</v>
      </c>
      <c r="I62" s="324">
        <f t="shared" si="82"/>
        <v>0</v>
      </c>
      <c r="J62" s="323"/>
      <c r="K62" s="323"/>
      <c r="L62" s="324">
        <f t="shared" si="83"/>
        <v>0</v>
      </c>
      <c r="M62" s="323"/>
      <c r="N62" s="323"/>
      <c r="O62" s="324">
        <f t="shared" si="84"/>
        <v>0</v>
      </c>
      <c r="P62" s="323">
        <v>0</v>
      </c>
      <c r="Q62" s="325">
        <v>0</v>
      </c>
      <c r="R62" s="326">
        <f t="shared" si="74"/>
        <v>0</v>
      </c>
    </row>
    <row r="63" spans="1:19" x14ac:dyDescent="0.3">
      <c r="A63" s="1125"/>
      <c r="B63" s="1128"/>
      <c r="C63" s="25" t="s">
        <v>32</v>
      </c>
      <c r="D63" s="320">
        <f t="shared" si="80"/>
        <v>0</v>
      </c>
      <c r="E63" s="321">
        <f t="shared" si="81"/>
        <v>0</v>
      </c>
      <c r="F63" s="322">
        <f t="shared" si="85"/>
        <v>0</v>
      </c>
      <c r="G63" s="301">
        <v>0</v>
      </c>
      <c r="H63" s="302">
        <v>0</v>
      </c>
      <c r="I63" s="324">
        <f t="shared" si="82"/>
        <v>0</v>
      </c>
      <c r="J63" s="323"/>
      <c r="K63" s="323"/>
      <c r="L63" s="324">
        <f t="shared" si="83"/>
        <v>0</v>
      </c>
      <c r="M63" s="323"/>
      <c r="N63" s="323"/>
      <c r="O63" s="324">
        <f t="shared" si="84"/>
        <v>0</v>
      </c>
      <c r="P63" s="323">
        <v>0</v>
      </c>
      <c r="Q63" s="325">
        <v>0</v>
      </c>
      <c r="R63" s="326">
        <f t="shared" si="74"/>
        <v>0</v>
      </c>
    </row>
    <row r="64" spans="1:19" x14ac:dyDescent="0.3">
      <c r="A64" s="1125"/>
      <c r="B64" s="1128"/>
      <c r="C64" s="25" t="s">
        <v>33</v>
      </c>
      <c r="D64" s="320">
        <f t="shared" si="80"/>
        <v>0</v>
      </c>
      <c r="E64" s="321">
        <f t="shared" si="81"/>
        <v>0</v>
      </c>
      <c r="F64" s="322">
        <f t="shared" si="85"/>
        <v>0</v>
      </c>
      <c r="G64" s="301">
        <v>0</v>
      </c>
      <c r="H64" s="302">
        <v>0</v>
      </c>
      <c r="I64" s="324">
        <f t="shared" si="82"/>
        <v>0</v>
      </c>
      <c r="J64" s="323"/>
      <c r="K64" s="323"/>
      <c r="L64" s="324">
        <f t="shared" si="83"/>
        <v>0</v>
      </c>
      <c r="M64" s="323"/>
      <c r="N64" s="323"/>
      <c r="O64" s="324">
        <f t="shared" si="84"/>
        <v>0</v>
      </c>
      <c r="P64" s="323">
        <v>0</v>
      </c>
      <c r="Q64" s="325">
        <v>0</v>
      </c>
      <c r="R64" s="326">
        <f t="shared" si="74"/>
        <v>0</v>
      </c>
    </row>
    <row r="65" spans="1:19" ht="15" thickBot="1" x14ac:dyDescent="0.35">
      <c r="A65" s="1126"/>
      <c r="B65" s="1129"/>
      <c r="C65" s="305" t="s">
        <v>34</v>
      </c>
      <c r="D65" s="327">
        <f t="shared" si="80"/>
        <v>0</v>
      </c>
      <c r="E65" s="328">
        <f t="shared" si="81"/>
        <v>0</v>
      </c>
      <c r="F65" s="329">
        <f t="shared" si="85"/>
        <v>0</v>
      </c>
      <c r="G65" s="309">
        <v>0</v>
      </c>
      <c r="H65" s="310">
        <v>0</v>
      </c>
      <c r="I65" s="331">
        <f>H65-G65</f>
        <v>0</v>
      </c>
      <c r="J65" s="330"/>
      <c r="K65" s="330"/>
      <c r="L65" s="331">
        <f>K65-J65</f>
        <v>0</v>
      </c>
      <c r="M65" s="330"/>
      <c r="N65" s="330"/>
      <c r="O65" s="331">
        <f>N65-M65</f>
        <v>0</v>
      </c>
      <c r="P65" s="330">
        <v>0</v>
      </c>
      <c r="Q65" s="332">
        <v>0</v>
      </c>
      <c r="R65" s="333">
        <f>Q65-P65</f>
        <v>0</v>
      </c>
    </row>
    <row r="66" spans="1:19" s="335" customFormat="1" ht="14.25" customHeight="1" x14ac:dyDescent="0.3">
      <c r="A66" s="1124" t="s">
        <v>634</v>
      </c>
      <c r="B66" s="1127" t="s">
        <v>13</v>
      </c>
      <c r="C66" s="289" t="s">
        <v>25</v>
      </c>
      <c r="D66" s="290">
        <f t="shared" ref="D66:D75" si="86">G66+J66+M66+P66</f>
        <v>1542.0898666666665</v>
      </c>
      <c r="E66" s="291">
        <f t="shared" ref="E66:E75" si="87">H66+K66+N66+Q66</f>
        <v>1542.0898666666665</v>
      </c>
      <c r="F66" s="292">
        <f t="shared" ref="F66:F75" si="88">I66+L66+O66+R66</f>
        <v>0</v>
      </c>
      <c r="G66" s="936">
        <f>'Procesy - AS IS'!$AH$112*('TCO TO BE- SW'!$G$177+'TCO TO BE - HW'!$F$86)/('TCO TO BE- SW'!$E$177+'TCO TO BE - HW'!$E$86)</f>
        <v>1395.9981584809368</v>
      </c>
      <c r="H66" s="937">
        <f>G66</f>
        <v>1395.9981584809368</v>
      </c>
      <c r="I66" s="317">
        <f>H66-G66</f>
        <v>0</v>
      </c>
      <c r="J66" s="942">
        <f>'Procesy - AS IS'!$AH$112*('TCO TO BE- SW'!$H$177+'TCO TO BE - HW'!$G$86)/('TCO TO BE- SW'!$E$177+'TCO TO BE - HW'!$E$86)</f>
        <v>95.521057758084055</v>
      </c>
      <c r="K66" s="937">
        <f>J66</f>
        <v>95.521057758084055</v>
      </c>
      <c r="L66" s="317">
        <f>K66-J66</f>
        <v>0</v>
      </c>
      <c r="M66" s="942">
        <f>'Procesy - AS IS'!$AH$112*('TCO TO BE- SW'!$I$177+'TCO TO BE - HW'!$H$86)/('TCO TO BE- SW'!$E$177+'TCO TO BE - HW'!$E$86)</f>
        <v>47.529007526320257</v>
      </c>
      <c r="N66" s="937">
        <f>M66</f>
        <v>47.529007526320257</v>
      </c>
      <c r="O66" s="317">
        <f>N66-M66</f>
        <v>0</v>
      </c>
      <c r="P66" s="942">
        <f>'Procesy - AS IS'!$AH$112*('TCO TO BE- SW'!$J$177+'TCO TO BE - HW'!$I$86)/('TCO TO BE- SW'!$E$177+'TCO TO BE - HW'!$E$86)</f>
        <v>3.0416429013252917</v>
      </c>
      <c r="Q66" s="937">
        <f>P66</f>
        <v>3.0416429013252917</v>
      </c>
      <c r="R66" s="319">
        <f>Q66-P66</f>
        <v>0</v>
      </c>
      <c r="S66" s="334"/>
    </row>
    <row r="67" spans="1:19" x14ac:dyDescent="0.3">
      <c r="A67" s="1125"/>
      <c r="B67" s="1128"/>
      <c r="C67" s="25" t="s">
        <v>26</v>
      </c>
      <c r="D67" s="298">
        <f t="shared" si="86"/>
        <v>1542.0898666666665</v>
      </c>
      <c r="E67" s="299">
        <f t="shared" si="87"/>
        <v>1542.0898666666665</v>
      </c>
      <c r="F67" s="300">
        <f t="shared" si="88"/>
        <v>0</v>
      </c>
      <c r="G67" s="938">
        <f>G66</f>
        <v>1395.9981584809368</v>
      </c>
      <c r="H67" s="939">
        <f>H66</f>
        <v>1395.9981584809368</v>
      </c>
      <c r="I67" s="324">
        <f t="shared" ref="I67:I75" si="89">H67-G67</f>
        <v>0</v>
      </c>
      <c r="J67" s="938">
        <f>J66</f>
        <v>95.521057758084055</v>
      </c>
      <c r="K67" s="939">
        <f>K66</f>
        <v>95.521057758084055</v>
      </c>
      <c r="L67" s="324">
        <f t="shared" ref="L67:L75" si="90">K67-J67</f>
        <v>0</v>
      </c>
      <c r="M67" s="938">
        <f>M66</f>
        <v>47.529007526320257</v>
      </c>
      <c r="N67" s="939">
        <f>N66</f>
        <v>47.529007526320257</v>
      </c>
      <c r="O67" s="324">
        <f t="shared" ref="O67:O75" si="91">N67-M67</f>
        <v>0</v>
      </c>
      <c r="P67" s="938">
        <f>P66</f>
        <v>3.0416429013252917</v>
      </c>
      <c r="Q67" s="939">
        <f>Q66</f>
        <v>3.0416429013252917</v>
      </c>
      <c r="R67" s="326">
        <f t="shared" ref="R67:R75" si="92">Q67-P67</f>
        <v>0</v>
      </c>
    </row>
    <row r="68" spans="1:19" x14ac:dyDescent="0.3">
      <c r="A68" s="1125"/>
      <c r="B68" s="1128"/>
      <c r="C68" s="25" t="s">
        <v>27</v>
      </c>
      <c r="D68" s="298">
        <f t="shared" si="86"/>
        <v>1542.0898666666665</v>
      </c>
      <c r="E68" s="299">
        <f t="shared" si="87"/>
        <v>1542.0898666666665</v>
      </c>
      <c r="F68" s="300">
        <f t="shared" si="88"/>
        <v>0</v>
      </c>
      <c r="G68" s="938">
        <f>G67</f>
        <v>1395.9981584809368</v>
      </c>
      <c r="H68" s="939">
        <f t="shared" ref="H68:H75" si="93">H67</f>
        <v>1395.9981584809368</v>
      </c>
      <c r="I68" s="324">
        <f t="shared" si="89"/>
        <v>0</v>
      </c>
      <c r="J68" s="938">
        <f>J67</f>
        <v>95.521057758084055</v>
      </c>
      <c r="K68" s="943">
        <f>K67</f>
        <v>95.521057758084055</v>
      </c>
      <c r="L68" s="324">
        <f t="shared" si="90"/>
        <v>0</v>
      </c>
      <c r="M68" s="938">
        <f>M67</f>
        <v>47.529007526320257</v>
      </c>
      <c r="N68" s="943">
        <f>N67</f>
        <v>47.529007526320257</v>
      </c>
      <c r="O68" s="324">
        <f t="shared" si="91"/>
        <v>0</v>
      </c>
      <c r="P68" s="938">
        <f>P67</f>
        <v>3.0416429013252917</v>
      </c>
      <c r="Q68" s="944">
        <f>Q67</f>
        <v>3.0416429013252917</v>
      </c>
      <c r="R68" s="326">
        <f t="shared" si="92"/>
        <v>0</v>
      </c>
    </row>
    <row r="69" spans="1:19" x14ac:dyDescent="0.3">
      <c r="A69" s="1125"/>
      <c r="B69" s="1128"/>
      <c r="C69" s="25" t="s">
        <v>28</v>
      </c>
      <c r="D69" s="298">
        <f t="shared" si="86"/>
        <v>1542.0898666666665</v>
      </c>
      <c r="E69" s="299">
        <f t="shared" si="87"/>
        <v>1542.0898666666665</v>
      </c>
      <c r="F69" s="300">
        <f t="shared" si="88"/>
        <v>0</v>
      </c>
      <c r="G69" s="938">
        <f t="shared" ref="G69:G75" si="94">G68</f>
        <v>1395.9981584809368</v>
      </c>
      <c r="H69" s="939">
        <f t="shared" si="93"/>
        <v>1395.9981584809368</v>
      </c>
      <c r="I69" s="324">
        <f t="shared" si="89"/>
        <v>0</v>
      </c>
      <c r="J69" s="938">
        <f t="shared" ref="J69:K75" si="95">J68</f>
        <v>95.521057758084055</v>
      </c>
      <c r="K69" s="939">
        <f>K68</f>
        <v>95.521057758084055</v>
      </c>
      <c r="L69" s="324">
        <f t="shared" si="90"/>
        <v>0</v>
      </c>
      <c r="M69" s="938">
        <f t="shared" ref="M69:N75" si="96">M68</f>
        <v>47.529007526320257</v>
      </c>
      <c r="N69" s="939">
        <f>N68</f>
        <v>47.529007526320257</v>
      </c>
      <c r="O69" s="324">
        <f t="shared" si="91"/>
        <v>0</v>
      </c>
      <c r="P69" s="938">
        <f t="shared" ref="P69:Q75" si="97">P68</f>
        <v>3.0416429013252917</v>
      </c>
      <c r="Q69" s="939">
        <f>Q68</f>
        <v>3.0416429013252917</v>
      </c>
      <c r="R69" s="326">
        <f t="shared" si="92"/>
        <v>0</v>
      </c>
    </row>
    <row r="70" spans="1:19" x14ac:dyDescent="0.3">
      <c r="A70" s="1125"/>
      <c r="B70" s="1128"/>
      <c r="C70" s="25" t="s">
        <v>29</v>
      </c>
      <c r="D70" s="298">
        <f t="shared" si="86"/>
        <v>1542.0898666666665</v>
      </c>
      <c r="E70" s="299">
        <f t="shared" si="87"/>
        <v>1542.0898666666665</v>
      </c>
      <c r="F70" s="300">
        <f t="shared" si="88"/>
        <v>0</v>
      </c>
      <c r="G70" s="938">
        <f t="shared" si="94"/>
        <v>1395.9981584809368</v>
      </c>
      <c r="H70" s="939">
        <f t="shared" si="93"/>
        <v>1395.9981584809368</v>
      </c>
      <c r="I70" s="324">
        <f t="shared" si="89"/>
        <v>0</v>
      </c>
      <c r="J70" s="938">
        <f t="shared" si="95"/>
        <v>95.521057758084055</v>
      </c>
      <c r="K70" s="939">
        <f t="shared" si="95"/>
        <v>95.521057758084055</v>
      </c>
      <c r="L70" s="324">
        <f t="shared" si="90"/>
        <v>0</v>
      </c>
      <c r="M70" s="938">
        <f t="shared" si="96"/>
        <v>47.529007526320257</v>
      </c>
      <c r="N70" s="939">
        <f t="shared" si="96"/>
        <v>47.529007526320257</v>
      </c>
      <c r="O70" s="324">
        <f t="shared" si="91"/>
        <v>0</v>
      </c>
      <c r="P70" s="938">
        <f t="shared" si="97"/>
        <v>3.0416429013252917</v>
      </c>
      <c r="Q70" s="939">
        <f t="shared" si="97"/>
        <v>3.0416429013252917</v>
      </c>
      <c r="R70" s="326">
        <f t="shared" si="92"/>
        <v>0</v>
      </c>
    </row>
    <row r="71" spans="1:19" x14ac:dyDescent="0.3">
      <c r="A71" s="1125"/>
      <c r="B71" s="1128"/>
      <c r="C71" s="25" t="s">
        <v>30</v>
      </c>
      <c r="D71" s="298">
        <f t="shared" si="86"/>
        <v>1542.0898666666665</v>
      </c>
      <c r="E71" s="299">
        <f t="shared" si="87"/>
        <v>1542.0898666666665</v>
      </c>
      <c r="F71" s="300">
        <f t="shared" si="88"/>
        <v>0</v>
      </c>
      <c r="G71" s="938">
        <f t="shared" si="94"/>
        <v>1395.9981584809368</v>
      </c>
      <c r="H71" s="939">
        <f t="shared" si="93"/>
        <v>1395.9981584809368</v>
      </c>
      <c r="I71" s="324">
        <f t="shared" si="89"/>
        <v>0</v>
      </c>
      <c r="J71" s="938">
        <f t="shared" si="95"/>
        <v>95.521057758084055</v>
      </c>
      <c r="K71" s="939">
        <f t="shared" si="95"/>
        <v>95.521057758084055</v>
      </c>
      <c r="L71" s="324">
        <f t="shared" si="90"/>
        <v>0</v>
      </c>
      <c r="M71" s="938">
        <f t="shared" si="96"/>
        <v>47.529007526320257</v>
      </c>
      <c r="N71" s="939">
        <f t="shared" si="96"/>
        <v>47.529007526320257</v>
      </c>
      <c r="O71" s="324">
        <f t="shared" si="91"/>
        <v>0</v>
      </c>
      <c r="P71" s="938">
        <f t="shared" si="97"/>
        <v>3.0416429013252917</v>
      </c>
      <c r="Q71" s="939">
        <f t="shared" si="97"/>
        <v>3.0416429013252917</v>
      </c>
      <c r="R71" s="326">
        <f t="shared" si="92"/>
        <v>0</v>
      </c>
    </row>
    <row r="72" spans="1:19" x14ac:dyDescent="0.3">
      <c r="A72" s="1125"/>
      <c r="B72" s="1128"/>
      <c r="C72" s="25" t="s">
        <v>31</v>
      </c>
      <c r="D72" s="298">
        <f t="shared" si="86"/>
        <v>1542.0898666666665</v>
      </c>
      <c r="E72" s="299">
        <f t="shared" si="87"/>
        <v>1542.0898666666665</v>
      </c>
      <c r="F72" s="300">
        <f t="shared" si="88"/>
        <v>0</v>
      </c>
      <c r="G72" s="938">
        <f t="shared" si="94"/>
        <v>1395.9981584809368</v>
      </c>
      <c r="H72" s="939">
        <f t="shared" si="93"/>
        <v>1395.9981584809368</v>
      </c>
      <c r="I72" s="324">
        <f t="shared" si="89"/>
        <v>0</v>
      </c>
      <c r="J72" s="938">
        <f t="shared" si="95"/>
        <v>95.521057758084055</v>
      </c>
      <c r="K72" s="939">
        <f t="shared" si="95"/>
        <v>95.521057758084055</v>
      </c>
      <c r="L72" s="324">
        <f t="shared" si="90"/>
        <v>0</v>
      </c>
      <c r="M72" s="938">
        <f t="shared" si="96"/>
        <v>47.529007526320257</v>
      </c>
      <c r="N72" s="939">
        <f t="shared" si="96"/>
        <v>47.529007526320257</v>
      </c>
      <c r="O72" s="324">
        <f t="shared" si="91"/>
        <v>0</v>
      </c>
      <c r="P72" s="938">
        <f t="shared" si="97"/>
        <v>3.0416429013252917</v>
      </c>
      <c r="Q72" s="939">
        <f t="shared" si="97"/>
        <v>3.0416429013252917</v>
      </c>
      <c r="R72" s="326">
        <f t="shared" si="92"/>
        <v>0</v>
      </c>
    </row>
    <row r="73" spans="1:19" x14ac:dyDescent="0.3">
      <c r="A73" s="1125"/>
      <c r="B73" s="1128"/>
      <c r="C73" s="25" t="s">
        <v>32</v>
      </c>
      <c r="D73" s="298">
        <f t="shared" si="86"/>
        <v>1542.0898666666665</v>
      </c>
      <c r="E73" s="299">
        <f t="shared" si="87"/>
        <v>1542.0898666666665</v>
      </c>
      <c r="F73" s="300">
        <f t="shared" si="88"/>
        <v>0</v>
      </c>
      <c r="G73" s="938">
        <f t="shared" si="94"/>
        <v>1395.9981584809368</v>
      </c>
      <c r="H73" s="939">
        <f t="shared" si="93"/>
        <v>1395.9981584809368</v>
      </c>
      <c r="I73" s="324">
        <f t="shared" si="89"/>
        <v>0</v>
      </c>
      <c r="J73" s="938">
        <f t="shared" si="95"/>
        <v>95.521057758084055</v>
      </c>
      <c r="K73" s="939">
        <f t="shared" si="95"/>
        <v>95.521057758084055</v>
      </c>
      <c r="L73" s="324">
        <f t="shared" si="90"/>
        <v>0</v>
      </c>
      <c r="M73" s="938">
        <f t="shared" si="96"/>
        <v>47.529007526320257</v>
      </c>
      <c r="N73" s="939">
        <f t="shared" si="96"/>
        <v>47.529007526320257</v>
      </c>
      <c r="O73" s="324">
        <f t="shared" si="91"/>
        <v>0</v>
      </c>
      <c r="P73" s="938">
        <f t="shared" si="97"/>
        <v>3.0416429013252917</v>
      </c>
      <c r="Q73" s="939">
        <f t="shared" si="97"/>
        <v>3.0416429013252917</v>
      </c>
      <c r="R73" s="326">
        <f t="shared" si="92"/>
        <v>0</v>
      </c>
    </row>
    <row r="74" spans="1:19" x14ac:dyDescent="0.3">
      <c r="A74" s="1125"/>
      <c r="B74" s="1128"/>
      <c r="C74" s="25" t="s">
        <v>33</v>
      </c>
      <c r="D74" s="298">
        <f t="shared" si="86"/>
        <v>1542.0898666666665</v>
      </c>
      <c r="E74" s="299">
        <f t="shared" si="87"/>
        <v>1542.0898666666665</v>
      </c>
      <c r="F74" s="300">
        <f t="shared" si="88"/>
        <v>0</v>
      </c>
      <c r="G74" s="938">
        <f t="shared" si="94"/>
        <v>1395.9981584809368</v>
      </c>
      <c r="H74" s="939">
        <f t="shared" si="93"/>
        <v>1395.9981584809368</v>
      </c>
      <c r="I74" s="324">
        <f t="shared" si="89"/>
        <v>0</v>
      </c>
      <c r="J74" s="938">
        <f t="shared" si="95"/>
        <v>95.521057758084055</v>
      </c>
      <c r="K74" s="939">
        <f t="shared" si="95"/>
        <v>95.521057758084055</v>
      </c>
      <c r="L74" s="324">
        <f t="shared" si="90"/>
        <v>0</v>
      </c>
      <c r="M74" s="938">
        <f t="shared" si="96"/>
        <v>47.529007526320257</v>
      </c>
      <c r="N74" s="939">
        <f t="shared" si="96"/>
        <v>47.529007526320257</v>
      </c>
      <c r="O74" s="324">
        <f t="shared" si="91"/>
        <v>0</v>
      </c>
      <c r="P74" s="938">
        <f t="shared" si="97"/>
        <v>3.0416429013252917</v>
      </c>
      <c r="Q74" s="939">
        <f t="shared" si="97"/>
        <v>3.0416429013252917</v>
      </c>
      <c r="R74" s="326">
        <f t="shared" si="92"/>
        <v>0</v>
      </c>
    </row>
    <row r="75" spans="1:19" ht="15" thickBot="1" x14ac:dyDescent="0.35">
      <c r="A75" s="1126"/>
      <c r="B75" s="1129"/>
      <c r="C75" s="305" t="s">
        <v>34</v>
      </c>
      <c r="D75" s="306">
        <f t="shared" si="86"/>
        <v>1542.0898666666665</v>
      </c>
      <c r="E75" s="307">
        <f t="shared" si="87"/>
        <v>1542.0898666666665</v>
      </c>
      <c r="F75" s="308">
        <f t="shared" si="88"/>
        <v>0</v>
      </c>
      <c r="G75" s="940">
        <f t="shared" si="94"/>
        <v>1395.9981584809368</v>
      </c>
      <c r="H75" s="941">
        <f t="shared" si="93"/>
        <v>1395.9981584809368</v>
      </c>
      <c r="I75" s="331">
        <f t="shared" si="89"/>
        <v>0</v>
      </c>
      <c r="J75" s="940">
        <f t="shared" si="95"/>
        <v>95.521057758084055</v>
      </c>
      <c r="K75" s="941">
        <f t="shared" si="95"/>
        <v>95.521057758084055</v>
      </c>
      <c r="L75" s="331">
        <f t="shared" si="90"/>
        <v>0</v>
      </c>
      <c r="M75" s="940">
        <f t="shared" si="96"/>
        <v>47.529007526320257</v>
      </c>
      <c r="N75" s="941">
        <f t="shared" si="96"/>
        <v>47.529007526320257</v>
      </c>
      <c r="O75" s="331">
        <f t="shared" si="91"/>
        <v>0</v>
      </c>
      <c r="P75" s="940">
        <f t="shared" si="97"/>
        <v>3.0416429013252917</v>
      </c>
      <c r="Q75" s="941">
        <f t="shared" si="97"/>
        <v>3.0416429013252917</v>
      </c>
      <c r="R75" s="333">
        <f t="shared" si="92"/>
        <v>0</v>
      </c>
    </row>
    <row r="76" spans="1:19" s="335" customFormat="1" ht="14.25" customHeight="1" x14ac:dyDescent="0.3">
      <c r="A76" s="1125" t="s">
        <v>39</v>
      </c>
      <c r="B76" s="1128" t="s">
        <v>13</v>
      </c>
      <c r="C76" s="25" t="s">
        <v>25</v>
      </c>
      <c r="D76" s="290">
        <f t="shared" ref="D76:D85" si="98">G76+J76+M76+P76</f>
        <v>1387880.8799999997</v>
      </c>
      <c r="E76" s="291">
        <f t="shared" ref="E76:E85" si="99">H76+K76+N76+Q76</f>
        <v>1387880.8799999997</v>
      </c>
      <c r="F76" s="292">
        <f t="shared" ref="F76:F85" si="100">I76+L76+O76+R76</f>
        <v>0</v>
      </c>
      <c r="G76" s="568">
        <f>G16*G66</f>
        <v>1256398.3426328432</v>
      </c>
      <c r="H76" s="569">
        <f>H16*H66</f>
        <v>1256398.3426328432</v>
      </c>
      <c r="I76" s="627">
        <f t="shared" ref="I76:I85" si="101">H76-G76</f>
        <v>0</v>
      </c>
      <c r="J76" s="568">
        <f>J16*J66</f>
        <v>85968.951982275656</v>
      </c>
      <c r="K76" s="569">
        <f>K16*K66</f>
        <v>85968.951982275656</v>
      </c>
      <c r="L76" s="295">
        <f t="shared" ref="L76:L85" si="102">K76-J76</f>
        <v>0</v>
      </c>
      <c r="M76" s="568">
        <f>M16*M66</f>
        <v>42776.106773688232</v>
      </c>
      <c r="N76" s="569">
        <f>N16*N66</f>
        <v>42776.106773688232</v>
      </c>
      <c r="O76" s="295">
        <f t="shared" ref="O76:O85" si="103">N76-M76</f>
        <v>0</v>
      </c>
      <c r="P76" s="568">
        <f>P16*P66</f>
        <v>2737.4786111927624</v>
      </c>
      <c r="Q76" s="569">
        <f>Q16*Q66</f>
        <v>2737.4786111927624</v>
      </c>
      <c r="R76" s="296">
        <f t="shared" ref="R76:R85" si="104">Q76-P76</f>
        <v>0</v>
      </c>
      <c r="S76" s="334"/>
    </row>
    <row r="77" spans="1:19" x14ac:dyDescent="0.3">
      <c r="A77" s="1125"/>
      <c r="B77" s="1128"/>
      <c r="C77" s="25" t="s">
        <v>26</v>
      </c>
      <c r="D77" s="298">
        <f t="shared" si="98"/>
        <v>1387880.8799999997</v>
      </c>
      <c r="E77" s="299">
        <f t="shared" si="99"/>
        <v>1387880.8799999997</v>
      </c>
      <c r="F77" s="300">
        <f t="shared" si="100"/>
        <v>0</v>
      </c>
      <c r="G77" s="570">
        <f t="shared" ref="G77:H77" si="105">G17*G67</f>
        <v>1256398.3426328432</v>
      </c>
      <c r="H77" s="571">
        <f t="shared" si="105"/>
        <v>1256398.3426328432</v>
      </c>
      <c r="I77" s="628">
        <f t="shared" si="101"/>
        <v>0</v>
      </c>
      <c r="J77" s="570">
        <f t="shared" ref="J77:K77" si="106">J17*J67</f>
        <v>85968.951982275656</v>
      </c>
      <c r="K77" s="571">
        <f t="shared" si="106"/>
        <v>85968.951982275656</v>
      </c>
      <c r="L77" s="303">
        <f t="shared" si="102"/>
        <v>0</v>
      </c>
      <c r="M77" s="570">
        <f t="shared" ref="M77:N77" si="107">M17*M67</f>
        <v>42776.106773688232</v>
      </c>
      <c r="N77" s="571">
        <f t="shared" si="107"/>
        <v>42776.106773688232</v>
      </c>
      <c r="O77" s="303">
        <f t="shared" si="103"/>
        <v>0</v>
      </c>
      <c r="P77" s="570">
        <f t="shared" ref="P77:Q77" si="108">P17*P67</f>
        <v>2737.4786111927624</v>
      </c>
      <c r="Q77" s="571">
        <f t="shared" si="108"/>
        <v>2737.4786111927624</v>
      </c>
      <c r="R77" s="304">
        <f t="shared" si="104"/>
        <v>0</v>
      </c>
    </row>
    <row r="78" spans="1:19" x14ac:dyDescent="0.3">
      <c r="A78" s="1125"/>
      <c r="B78" s="1128"/>
      <c r="C78" s="25" t="s">
        <v>27</v>
      </c>
      <c r="D78" s="298">
        <f t="shared" si="98"/>
        <v>1387880.8799999997</v>
      </c>
      <c r="E78" s="299">
        <f t="shared" si="99"/>
        <v>2572457.0188871003</v>
      </c>
      <c r="F78" s="300">
        <f t="shared" si="100"/>
        <v>1184576.1388871009</v>
      </c>
      <c r="G78" s="570">
        <f t="shared" ref="G78:H78" si="109">G18*G68</f>
        <v>1256398.3426328432</v>
      </c>
      <c r="H78" s="571">
        <f t="shared" si="109"/>
        <v>2328752.2593610324</v>
      </c>
      <c r="I78" s="628">
        <f t="shared" si="101"/>
        <v>1072353.9167281892</v>
      </c>
      <c r="J78" s="570">
        <f t="shared" ref="J78:K78" si="110">J18*J68</f>
        <v>85968.951982275656</v>
      </c>
      <c r="K78" s="571">
        <f t="shared" si="110"/>
        <v>159344.67944624551</v>
      </c>
      <c r="L78" s="303">
        <f t="shared" si="102"/>
        <v>73375.727463969859</v>
      </c>
      <c r="M78" s="570">
        <f t="shared" ref="M78:N78" si="111">M18*M68</f>
        <v>42776.106773688232</v>
      </c>
      <c r="N78" s="571">
        <f t="shared" si="111"/>
        <v>79286.124404738788</v>
      </c>
      <c r="O78" s="303">
        <f t="shared" si="103"/>
        <v>36510.017631050556</v>
      </c>
      <c r="P78" s="570">
        <f t="shared" ref="P78:Q78" si="112">P18*P68</f>
        <v>2737.4786111927624</v>
      </c>
      <c r="Q78" s="571">
        <f t="shared" si="112"/>
        <v>5073.9556750836819</v>
      </c>
      <c r="R78" s="304">
        <f t="shared" si="104"/>
        <v>2336.4770638909195</v>
      </c>
    </row>
    <row r="79" spans="1:19" x14ac:dyDescent="0.3">
      <c r="A79" s="1125"/>
      <c r="B79" s="1128"/>
      <c r="C79" s="25" t="s">
        <v>28</v>
      </c>
      <c r="D79" s="298">
        <f t="shared" si="98"/>
        <v>1387880.8799999997</v>
      </c>
      <c r="E79" s="299">
        <f t="shared" si="99"/>
        <v>2572457.0188871003</v>
      </c>
      <c r="F79" s="300">
        <f t="shared" si="100"/>
        <v>1184576.1388871009</v>
      </c>
      <c r="G79" s="570">
        <f t="shared" ref="G79:H79" si="113">G19*G69</f>
        <v>1256398.3426328432</v>
      </c>
      <c r="H79" s="571">
        <f t="shared" si="113"/>
        <v>2328752.2593610324</v>
      </c>
      <c r="I79" s="628">
        <f t="shared" si="101"/>
        <v>1072353.9167281892</v>
      </c>
      <c r="J79" s="570">
        <f t="shared" ref="J79:K79" si="114">J19*J69</f>
        <v>85968.951982275656</v>
      </c>
      <c r="K79" s="571">
        <f t="shared" si="114"/>
        <v>159344.67944624551</v>
      </c>
      <c r="L79" s="303">
        <f t="shared" si="102"/>
        <v>73375.727463969859</v>
      </c>
      <c r="M79" s="570">
        <f t="shared" ref="M79:N79" si="115">M19*M69</f>
        <v>42776.106773688232</v>
      </c>
      <c r="N79" s="571">
        <f t="shared" si="115"/>
        <v>79286.124404738788</v>
      </c>
      <c r="O79" s="303">
        <f t="shared" si="103"/>
        <v>36510.017631050556</v>
      </c>
      <c r="P79" s="570">
        <f t="shared" ref="P79:Q79" si="116">P19*P69</f>
        <v>2737.4786111927624</v>
      </c>
      <c r="Q79" s="571">
        <f t="shared" si="116"/>
        <v>5073.9556750836819</v>
      </c>
      <c r="R79" s="304">
        <f t="shared" si="104"/>
        <v>2336.4770638909195</v>
      </c>
    </row>
    <row r="80" spans="1:19" x14ac:dyDescent="0.3">
      <c r="A80" s="1125"/>
      <c r="B80" s="1128"/>
      <c r="C80" s="25" t="s">
        <v>29</v>
      </c>
      <c r="D80" s="298">
        <f t="shared" si="98"/>
        <v>1387880.8799999997</v>
      </c>
      <c r="E80" s="299">
        <f t="shared" si="99"/>
        <v>2572457.0188871003</v>
      </c>
      <c r="F80" s="300">
        <f t="shared" si="100"/>
        <v>1184576.1388871009</v>
      </c>
      <c r="G80" s="570">
        <f t="shared" ref="G80:H80" si="117">G20*G70</f>
        <v>1256398.3426328432</v>
      </c>
      <c r="H80" s="571">
        <f t="shared" si="117"/>
        <v>2328752.2593610324</v>
      </c>
      <c r="I80" s="628">
        <f t="shared" si="101"/>
        <v>1072353.9167281892</v>
      </c>
      <c r="J80" s="570">
        <f t="shared" ref="J80:K80" si="118">J20*J70</f>
        <v>85968.951982275656</v>
      </c>
      <c r="K80" s="571">
        <f t="shared" si="118"/>
        <v>159344.67944624551</v>
      </c>
      <c r="L80" s="303">
        <f t="shared" si="102"/>
        <v>73375.727463969859</v>
      </c>
      <c r="M80" s="570">
        <f t="shared" ref="M80:N80" si="119">M20*M70</f>
        <v>42776.106773688232</v>
      </c>
      <c r="N80" s="571">
        <f t="shared" si="119"/>
        <v>79286.124404738788</v>
      </c>
      <c r="O80" s="303">
        <f t="shared" si="103"/>
        <v>36510.017631050556</v>
      </c>
      <c r="P80" s="570">
        <f t="shared" ref="P80:Q80" si="120">P20*P70</f>
        <v>2737.4786111927624</v>
      </c>
      <c r="Q80" s="571">
        <f t="shared" si="120"/>
        <v>5073.9556750836819</v>
      </c>
      <c r="R80" s="304">
        <f t="shared" si="104"/>
        <v>2336.4770638909195</v>
      </c>
    </row>
    <row r="81" spans="1:19" x14ac:dyDescent="0.3">
      <c r="A81" s="1125"/>
      <c r="B81" s="1128"/>
      <c r="C81" s="25" t="s">
        <v>30</v>
      </c>
      <c r="D81" s="298">
        <f t="shared" si="98"/>
        <v>1387880.8799999997</v>
      </c>
      <c r="E81" s="299">
        <f t="shared" si="99"/>
        <v>2572457.0188871003</v>
      </c>
      <c r="F81" s="300">
        <f t="shared" si="100"/>
        <v>1184576.1388871009</v>
      </c>
      <c r="G81" s="570">
        <f t="shared" ref="G81:H81" si="121">G21*G71</f>
        <v>1256398.3426328432</v>
      </c>
      <c r="H81" s="571">
        <f t="shared" si="121"/>
        <v>2328752.2593610324</v>
      </c>
      <c r="I81" s="628">
        <f t="shared" si="101"/>
        <v>1072353.9167281892</v>
      </c>
      <c r="J81" s="570">
        <f t="shared" ref="J81:K81" si="122">J21*J71</f>
        <v>85968.951982275656</v>
      </c>
      <c r="K81" s="571">
        <f t="shared" si="122"/>
        <v>159344.67944624551</v>
      </c>
      <c r="L81" s="303">
        <f t="shared" si="102"/>
        <v>73375.727463969859</v>
      </c>
      <c r="M81" s="570">
        <f t="shared" ref="M81:N81" si="123">M21*M71</f>
        <v>42776.106773688232</v>
      </c>
      <c r="N81" s="571">
        <f t="shared" si="123"/>
        <v>79286.124404738788</v>
      </c>
      <c r="O81" s="303">
        <f t="shared" si="103"/>
        <v>36510.017631050556</v>
      </c>
      <c r="P81" s="570">
        <f t="shared" ref="P81:Q81" si="124">P21*P71</f>
        <v>2737.4786111927624</v>
      </c>
      <c r="Q81" s="571">
        <f t="shared" si="124"/>
        <v>5073.9556750836819</v>
      </c>
      <c r="R81" s="304">
        <f t="shared" si="104"/>
        <v>2336.4770638909195</v>
      </c>
    </row>
    <row r="82" spans="1:19" x14ac:dyDescent="0.3">
      <c r="A82" s="1125"/>
      <c r="B82" s="1128"/>
      <c r="C82" s="25" t="s">
        <v>31</v>
      </c>
      <c r="D82" s="298">
        <f t="shared" si="98"/>
        <v>1387880.8799999997</v>
      </c>
      <c r="E82" s="299">
        <f t="shared" si="99"/>
        <v>2572457.0188871003</v>
      </c>
      <c r="F82" s="300">
        <f t="shared" si="100"/>
        <v>1184576.1388871009</v>
      </c>
      <c r="G82" s="570">
        <f t="shared" ref="G82:H82" si="125">G22*G72</f>
        <v>1256398.3426328432</v>
      </c>
      <c r="H82" s="571">
        <f t="shared" si="125"/>
        <v>2328752.2593610324</v>
      </c>
      <c r="I82" s="628">
        <f t="shared" si="101"/>
        <v>1072353.9167281892</v>
      </c>
      <c r="J82" s="570">
        <f t="shared" ref="J82:K82" si="126">J22*J72</f>
        <v>85968.951982275656</v>
      </c>
      <c r="K82" s="571">
        <f t="shared" si="126"/>
        <v>159344.67944624551</v>
      </c>
      <c r="L82" s="303">
        <f t="shared" si="102"/>
        <v>73375.727463969859</v>
      </c>
      <c r="M82" s="570">
        <f t="shared" ref="M82:N82" si="127">M22*M72</f>
        <v>42776.106773688232</v>
      </c>
      <c r="N82" s="571">
        <f t="shared" si="127"/>
        <v>79286.124404738788</v>
      </c>
      <c r="O82" s="303">
        <f t="shared" si="103"/>
        <v>36510.017631050556</v>
      </c>
      <c r="P82" s="570">
        <f t="shared" ref="P82:Q82" si="128">P22*P72</f>
        <v>2737.4786111927624</v>
      </c>
      <c r="Q82" s="571">
        <f t="shared" si="128"/>
        <v>5073.9556750836819</v>
      </c>
      <c r="R82" s="304">
        <f t="shared" si="104"/>
        <v>2336.4770638909195</v>
      </c>
    </row>
    <row r="83" spans="1:19" x14ac:dyDescent="0.3">
      <c r="A83" s="1125"/>
      <c r="B83" s="1128"/>
      <c r="C83" s="25" t="s">
        <v>32</v>
      </c>
      <c r="D83" s="298">
        <f t="shared" si="98"/>
        <v>1387880.8799999997</v>
      </c>
      <c r="E83" s="299">
        <f t="shared" si="99"/>
        <v>2572457.0188871003</v>
      </c>
      <c r="F83" s="300">
        <f t="shared" si="100"/>
        <v>1184576.1388871009</v>
      </c>
      <c r="G83" s="570">
        <f t="shared" ref="G83:H83" si="129">G23*G73</f>
        <v>1256398.3426328432</v>
      </c>
      <c r="H83" s="571">
        <f t="shared" si="129"/>
        <v>2328752.2593610324</v>
      </c>
      <c r="I83" s="628">
        <f t="shared" si="101"/>
        <v>1072353.9167281892</v>
      </c>
      <c r="J83" s="570">
        <f t="shared" ref="J83:K83" si="130">J23*J73</f>
        <v>85968.951982275656</v>
      </c>
      <c r="K83" s="571">
        <f t="shared" si="130"/>
        <v>159344.67944624551</v>
      </c>
      <c r="L83" s="303">
        <f t="shared" si="102"/>
        <v>73375.727463969859</v>
      </c>
      <c r="M83" s="570">
        <f t="shared" ref="M83:N83" si="131">M23*M73</f>
        <v>42776.106773688232</v>
      </c>
      <c r="N83" s="571">
        <f t="shared" si="131"/>
        <v>79286.124404738788</v>
      </c>
      <c r="O83" s="303">
        <f t="shared" si="103"/>
        <v>36510.017631050556</v>
      </c>
      <c r="P83" s="570">
        <f t="shared" ref="P83:Q83" si="132">P23*P73</f>
        <v>2737.4786111927624</v>
      </c>
      <c r="Q83" s="571">
        <f t="shared" si="132"/>
        <v>5073.9556750836819</v>
      </c>
      <c r="R83" s="304">
        <f t="shared" si="104"/>
        <v>2336.4770638909195</v>
      </c>
    </row>
    <row r="84" spans="1:19" x14ac:dyDescent="0.3">
      <c r="A84" s="1125"/>
      <c r="B84" s="1128"/>
      <c r="C84" s="25" t="s">
        <v>33</v>
      </c>
      <c r="D84" s="298">
        <f t="shared" si="98"/>
        <v>1387880.8799999997</v>
      </c>
      <c r="E84" s="299">
        <f t="shared" si="99"/>
        <v>2572457.0188871003</v>
      </c>
      <c r="F84" s="300">
        <f t="shared" si="100"/>
        <v>1184576.1388871009</v>
      </c>
      <c r="G84" s="570">
        <f t="shared" ref="G84:H84" si="133">G24*G74</f>
        <v>1256398.3426328432</v>
      </c>
      <c r="H84" s="571">
        <f t="shared" si="133"/>
        <v>2328752.2593610324</v>
      </c>
      <c r="I84" s="628">
        <f t="shared" si="101"/>
        <v>1072353.9167281892</v>
      </c>
      <c r="J84" s="570">
        <f t="shared" ref="J84:K84" si="134">J24*J74</f>
        <v>85968.951982275656</v>
      </c>
      <c r="K84" s="571">
        <f t="shared" si="134"/>
        <v>159344.67944624551</v>
      </c>
      <c r="L84" s="303">
        <f t="shared" si="102"/>
        <v>73375.727463969859</v>
      </c>
      <c r="M84" s="570">
        <f t="shared" ref="M84:N84" si="135">M24*M74</f>
        <v>42776.106773688232</v>
      </c>
      <c r="N84" s="571">
        <f t="shared" si="135"/>
        <v>79286.124404738788</v>
      </c>
      <c r="O84" s="303">
        <f t="shared" si="103"/>
        <v>36510.017631050556</v>
      </c>
      <c r="P84" s="570">
        <f t="shared" ref="P84:Q84" si="136">P24*P74</f>
        <v>2737.4786111927624</v>
      </c>
      <c r="Q84" s="571">
        <f t="shared" si="136"/>
        <v>5073.9556750836819</v>
      </c>
      <c r="R84" s="304">
        <f t="shared" si="104"/>
        <v>2336.4770638909195</v>
      </c>
    </row>
    <row r="85" spans="1:19" s="337" customFormat="1" ht="15" thickBot="1" x14ac:dyDescent="0.35">
      <c r="A85" s="1126"/>
      <c r="B85" s="1129"/>
      <c r="C85" s="305" t="s">
        <v>34</v>
      </c>
      <c r="D85" s="306">
        <f t="shared" si="98"/>
        <v>1387880.8799999997</v>
      </c>
      <c r="E85" s="307">
        <f t="shared" si="99"/>
        <v>2572457.0188871003</v>
      </c>
      <c r="F85" s="308">
        <f t="shared" si="100"/>
        <v>1184576.1388871009</v>
      </c>
      <c r="G85" s="572">
        <f t="shared" ref="G85:H85" si="137">G25*G75</f>
        <v>1256398.3426328432</v>
      </c>
      <c r="H85" s="573">
        <f t="shared" si="137"/>
        <v>2328752.2593610324</v>
      </c>
      <c r="I85" s="629">
        <f t="shared" si="101"/>
        <v>1072353.9167281892</v>
      </c>
      <c r="J85" s="572">
        <f t="shared" ref="J85:K85" si="138">J25*J75</f>
        <v>85968.951982275656</v>
      </c>
      <c r="K85" s="573">
        <f t="shared" si="138"/>
        <v>159344.67944624551</v>
      </c>
      <c r="L85" s="311">
        <f t="shared" si="102"/>
        <v>73375.727463969859</v>
      </c>
      <c r="M85" s="572">
        <f t="shared" ref="M85:N85" si="139">M25*M75</f>
        <v>42776.106773688232</v>
      </c>
      <c r="N85" s="573">
        <f t="shared" si="139"/>
        <v>79286.124404738788</v>
      </c>
      <c r="O85" s="311">
        <f t="shared" si="103"/>
        <v>36510.017631050556</v>
      </c>
      <c r="P85" s="572">
        <f t="shared" ref="P85:Q85" si="140">P25*P75</f>
        <v>2737.4786111927624</v>
      </c>
      <c r="Q85" s="573">
        <f t="shared" si="140"/>
        <v>5073.9556750836819</v>
      </c>
      <c r="R85" s="312">
        <f t="shared" si="104"/>
        <v>2336.4770638909195</v>
      </c>
      <c r="S85" s="336"/>
    </row>
    <row r="86" spans="1:19" ht="15" thickBot="1" x14ac:dyDescent="0.35">
      <c r="A86" s="338"/>
      <c r="B86" s="339"/>
      <c r="C86" s="340"/>
      <c r="D86" s="339"/>
      <c r="E86" s="339"/>
      <c r="F86" s="341" t="s">
        <v>103</v>
      </c>
      <c r="G86" s="342"/>
      <c r="H86" s="342"/>
      <c r="I86" s="343"/>
      <c r="J86" s="342"/>
      <c r="K86" s="342"/>
      <c r="L86" s="343"/>
      <c r="M86" s="342"/>
      <c r="N86" s="342"/>
      <c r="O86" s="343"/>
      <c r="P86" s="342"/>
      <c r="Q86" s="344"/>
      <c r="R86" s="345"/>
    </row>
    <row r="87" spans="1:19" x14ac:dyDescent="0.3">
      <c r="A87" s="1144" t="s">
        <v>268</v>
      </c>
      <c r="B87" s="1146" t="s">
        <v>37</v>
      </c>
      <c r="C87" s="346" t="s">
        <v>25</v>
      </c>
      <c r="D87" s="347">
        <f t="shared" ref="D87:D126" si="141">G87+J87+M87+P87</f>
        <v>10636</v>
      </c>
      <c r="E87" s="348">
        <f t="shared" ref="E87:E126" si="142">H87+K87+N87+Q87</f>
        <v>10636</v>
      </c>
      <c r="F87" s="349">
        <f t="shared" ref="F87:F126" si="143">I87+L87+O87+R87</f>
        <v>0</v>
      </c>
      <c r="G87" s="350">
        <f t="shared" ref="G87:G96" si="144">G6</f>
        <v>2659</v>
      </c>
      <c r="H87" s="351">
        <f t="shared" ref="H87:H96" si="145">H6*(1+$S$87)</f>
        <v>2659</v>
      </c>
      <c r="I87" s="352">
        <f>H87-G87</f>
        <v>0</v>
      </c>
      <c r="J87" s="351">
        <f t="shared" ref="J87:J96" si="146">J6</f>
        <v>2659</v>
      </c>
      <c r="K87" s="351">
        <f t="shared" ref="K87:K96" si="147">K6*(1+$S$87)</f>
        <v>2659</v>
      </c>
      <c r="L87" s="352">
        <f t="shared" ref="L87:L96" si="148">K87-J87</f>
        <v>0</v>
      </c>
      <c r="M87" s="351">
        <f t="shared" ref="M87:M96" si="149">M6</f>
        <v>2659</v>
      </c>
      <c r="N87" s="351">
        <f t="shared" ref="N87:N96" si="150">N6*(1+$S$87)</f>
        <v>2659</v>
      </c>
      <c r="O87" s="352">
        <f t="shared" ref="O87:O96" si="151">N87-M87</f>
        <v>0</v>
      </c>
      <c r="P87" s="351">
        <f t="shared" ref="P87:P96" si="152">P6</f>
        <v>2659</v>
      </c>
      <c r="Q87" s="353">
        <f t="shared" ref="Q87:Q96" si="153">Q6*(1+$S$87)</f>
        <v>2659</v>
      </c>
      <c r="R87" s="354">
        <f t="shared" ref="R87:R96" si="154">Q87-P87</f>
        <v>0</v>
      </c>
      <c r="S87" s="355">
        <f>'Analyza citlivosti - AgendovéIS'!K7</f>
        <v>0</v>
      </c>
    </row>
    <row r="88" spans="1:19" x14ac:dyDescent="0.3">
      <c r="A88" s="1144"/>
      <c r="B88" s="1146"/>
      <c r="C88" s="346" t="s">
        <v>26</v>
      </c>
      <c r="D88" s="347">
        <f t="shared" si="141"/>
        <v>10636</v>
      </c>
      <c r="E88" s="348">
        <f t="shared" si="142"/>
        <v>10636</v>
      </c>
      <c r="F88" s="349">
        <f t="shared" si="143"/>
        <v>0</v>
      </c>
      <c r="G88" s="356">
        <f t="shared" si="144"/>
        <v>2659</v>
      </c>
      <c r="H88" s="357">
        <f t="shared" si="145"/>
        <v>2659</v>
      </c>
      <c r="I88" s="303">
        <f t="shared" ref="I88:I96" si="155">H88-G88</f>
        <v>0</v>
      </c>
      <c r="J88" s="357">
        <f t="shared" si="146"/>
        <v>2659</v>
      </c>
      <c r="K88" s="357">
        <f t="shared" si="147"/>
        <v>2659</v>
      </c>
      <c r="L88" s="303">
        <f t="shared" si="148"/>
        <v>0</v>
      </c>
      <c r="M88" s="357">
        <f t="shared" si="149"/>
        <v>2659</v>
      </c>
      <c r="N88" s="357">
        <f t="shared" si="150"/>
        <v>2659</v>
      </c>
      <c r="O88" s="303">
        <f t="shared" si="151"/>
        <v>0</v>
      </c>
      <c r="P88" s="357">
        <f t="shared" si="152"/>
        <v>2659</v>
      </c>
      <c r="Q88" s="358">
        <f t="shared" si="153"/>
        <v>2659</v>
      </c>
      <c r="R88" s="304">
        <f t="shared" si="154"/>
        <v>0</v>
      </c>
    </row>
    <row r="89" spans="1:19" x14ac:dyDescent="0.3">
      <c r="A89" s="1144"/>
      <c r="B89" s="1146"/>
      <c r="C89" s="346" t="s">
        <v>27</v>
      </c>
      <c r="D89" s="347">
        <f t="shared" si="141"/>
        <v>10636</v>
      </c>
      <c r="E89" s="348">
        <f t="shared" si="142"/>
        <v>16681.62844781312</v>
      </c>
      <c r="F89" s="349">
        <f t="shared" si="143"/>
        <v>6045.6284478131201</v>
      </c>
      <c r="G89" s="356">
        <f t="shared" si="144"/>
        <v>2659</v>
      </c>
      <c r="H89" s="357">
        <f t="shared" si="145"/>
        <v>4170.40711195328</v>
      </c>
      <c r="I89" s="303">
        <f t="shared" si="155"/>
        <v>1511.40711195328</v>
      </c>
      <c r="J89" s="357">
        <f t="shared" si="146"/>
        <v>2659</v>
      </c>
      <c r="K89" s="357">
        <f t="shared" si="147"/>
        <v>4170.40711195328</v>
      </c>
      <c r="L89" s="303">
        <f t="shared" si="148"/>
        <v>1511.40711195328</v>
      </c>
      <c r="M89" s="357">
        <f t="shared" si="149"/>
        <v>2659</v>
      </c>
      <c r="N89" s="357">
        <f t="shared" si="150"/>
        <v>4170.40711195328</v>
      </c>
      <c r="O89" s="303">
        <f t="shared" si="151"/>
        <v>1511.40711195328</v>
      </c>
      <c r="P89" s="357">
        <f t="shared" si="152"/>
        <v>2659</v>
      </c>
      <c r="Q89" s="358">
        <f t="shared" si="153"/>
        <v>4170.40711195328</v>
      </c>
      <c r="R89" s="304">
        <f t="shared" si="154"/>
        <v>1511.40711195328</v>
      </c>
    </row>
    <row r="90" spans="1:19" x14ac:dyDescent="0.3">
      <c r="A90" s="1144"/>
      <c r="B90" s="1146"/>
      <c r="C90" s="346" t="s">
        <v>28</v>
      </c>
      <c r="D90" s="347">
        <f t="shared" si="141"/>
        <v>10636</v>
      </c>
      <c r="E90" s="348">
        <f t="shared" si="142"/>
        <v>16681.62844781312</v>
      </c>
      <c r="F90" s="349">
        <f t="shared" si="143"/>
        <v>6045.6284478131201</v>
      </c>
      <c r="G90" s="356">
        <f t="shared" si="144"/>
        <v>2659</v>
      </c>
      <c r="H90" s="357">
        <f t="shared" si="145"/>
        <v>4170.40711195328</v>
      </c>
      <c r="I90" s="303">
        <f t="shared" si="155"/>
        <v>1511.40711195328</v>
      </c>
      <c r="J90" s="357">
        <f t="shared" si="146"/>
        <v>2659</v>
      </c>
      <c r="K90" s="357">
        <f t="shared" si="147"/>
        <v>4170.40711195328</v>
      </c>
      <c r="L90" s="303">
        <f t="shared" si="148"/>
        <v>1511.40711195328</v>
      </c>
      <c r="M90" s="357">
        <f t="shared" si="149"/>
        <v>2659</v>
      </c>
      <c r="N90" s="357">
        <f t="shared" si="150"/>
        <v>4170.40711195328</v>
      </c>
      <c r="O90" s="303">
        <f t="shared" si="151"/>
        <v>1511.40711195328</v>
      </c>
      <c r="P90" s="357">
        <f t="shared" si="152"/>
        <v>2659</v>
      </c>
      <c r="Q90" s="358">
        <f t="shared" si="153"/>
        <v>4170.40711195328</v>
      </c>
      <c r="R90" s="304">
        <f t="shared" si="154"/>
        <v>1511.40711195328</v>
      </c>
    </row>
    <row r="91" spans="1:19" x14ac:dyDescent="0.3">
      <c r="A91" s="1144"/>
      <c r="B91" s="1146"/>
      <c r="C91" s="346" t="s">
        <v>29</v>
      </c>
      <c r="D91" s="347">
        <f t="shared" si="141"/>
        <v>10636</v>
      </c>
      <c r="E91" s="348">
        <f t="shared" si="142"/>
        <v>16681.62844781312</v>
      </c>
      <c r="F91" s="349">
        <f t="shared" si="143"/>
        <v>6045.6284478131201</v>
      </c>
      <c r="G91" s="356">
        <f t="shared" si="144"/>
        <v>2659</v>
      </c>
      <c r="H91" s="357">
        <f t="shared" si="145"/>
        <v>4170.40711195328</v>
      </c>
      <c r="I91" s="303">
        <f t="shared" si="155"/>
        <v>1511.40711195328</v>
      </c>
      <c r="J91" s="357">
        <f t="shared" si="146"/>
        <v>2659</v>
      </c>
      <c r="K91" s="357">
        <f t="shared" si="147"/>
        <v>4170.40711195328</v>
      </c>
      <c r="L91" s="303">
        <f t="shared" si="148"/>
        <v>1511.40711195328</v>
      </c>
      <c r="M91" s="357">
        <f t="shared" si="149"/>
        <v>2659</v>
      </c>
      <c r="N91" s="357">
        <f t="shared" si="150"/>
        <v>4170.40711195328</v>
      </c>
      <c r="O91" s="303">
        <f t="shared" si="151"/>
        <v>1511.40711195328</v>
      </c>
      <c r="P91" s="357">
        <f t="shared" si="152"/>
        <v>2659</v>
      </c>
      <c r="Q91" s="358">
        <f t="shared" si="153"/>
        <v>4170.40711195328</v>
      </c>
      <c r="R91" s="304">
        <f t="shared" si="154"/>
        <v>1511.40711195328</v>
      </c>
    </row>
    <row r="92" spans="1:19" x14ac:dyDescent="0.3">
      <c r="A92" s="1144"/>
      <c r="B92" s="1146"/>
      <c r="C92" s="346" t="s">
        <v>30</v>
      </c>
      <c r="D92" s="347">
        <f t="shared" si="141"/>
        <v>10636</v>
      </c>
      <c r="E92" s="348">
        <f t="shared" si="142"/>
        <v>16681.62844781312</v>
      </c>
      <c r="F92" s="349">
        <f t="shared" si="143"/>
        <v>6045.6284478131201</v>
      </c>
      <c r="G92" s="356">
        <f t="shared" si="144"/>
        <v>2659</v>
      </c>
      <c r="H92" s="357">
        <f t="shared" si="145"/>
        <v>4170.40711195328</v>
      </c>
      <c r="I92" s="303">
        <f t="shared" si="155"/>
        <v>1511.40711195328</v>
      </c>
      <c r="J92" s="357">
        <f t="shared" si="146"/>
        <v>2659</v>
      </c>
      <c r="K92" s="357">
        <f t="shared" si="147"/>
        <v>4170.40711195328</v>
      </c>
      <c r="L92" s="303">
        <f t="shared" si="148"/>
        <v>1511.40711195328</v>
      </c>
      <c r="M92" s="357">
        <f t="shared" si="149"/>
        <v>2659</v>
      </c>
      <c r="N92" s="357">
        <f t="shared" si="150"/>
        <v>4170.40711195328</v>
      </c>
      <c r="O92" s="303">
        <f t="shared" si="151"/>
        <v>1511.40711195328</v>
      </c>
      <c r="P92" s="357">
        <f t="shared" si="152"/>
        <v>2659</v>
      </c>
      <c r="Q92" s="358">
        <f t="shared" si="153"/>
        <v>4170.40711195328</v>
      </c>
      <c r="R92" s="304">
        <f t="shared" si="154"/>
        <v>1511.40711195328</v>
      </c>
    </row>
    <row r="93" spans="1:19" x14ac:dyDescent="0.3">
      <c r="A93" s="1144"/>
      <c r="B93" s="1146"/>
      <c r="C93" s="346" t="s">
        <v>31</v>
      </c>
      <c r="D93" s="347">
        <f t="shared" si="141"/>
        <v>10636</v>
      </c>
      <c r="E93" s="348">
        <f t="shared" si="142"/>
        <v>16681.62844781312</v>
      </c>
      <c r="F93" s="349">
        <f t="shared" si="143"/>
        <v>6045.6284478131201</v>
      </c>
      <c r="G93" s="356">
        <f t="shared" si="144"/>
        <v>2659</v>
      </c>
      <c r="H93" s="357">
        <f t="shared" si="145"/>
        <v>4170.40711195328</v>
      </c>
      <c r="I93" s="303">
        <f t="shared" si="155"/>
        <v>1511.40711195328</v>
      </c>
      <c r="J93" s="357">
        <f t="shared" si="146"/>
        <v>2659</v>
      </c>
      <c r="K93" s="357">
        <f t="shared" si="147"/>
        <v>4170.40711195328</v>
      </c>
      <c r="L93" s="303">
        <f t="shared" si="148"/>
        <v>1511.40711195328</v>
      </c>
      <c r="M93" s="357">
        <f t="shared" si="149"/>
        <v>2659</v>
      </c>
      <c r="N93" s="357">
        <f t="shared" si="150"/>
        <v>4170.40711195328</v>
      </c>
      <c r="O93" s="303">
        <f t="shared" si="151"/>
        <v>1511.40711195328</v>
      </c>
      <c r="P93" s="357">
        <f t="shared" si="152"/>
        <v>2659</v>
      </c>
      <c r="Q93" s="358">
        <f t="shared" si="153"/>
        <v>4170.40711195328</v>
      </c>
      <c r="R93" s="304">
        <f t="shared" si="154"/>
        <v>1511.40711195328</v>
      </c>
    </row>
    <row r="94" spans="1:19" x14ac:dyDescent="0.3">
      <c r="A94" s="1144"/>
      <c r="B94" s="1146"/>
      <c r="C94" s="346" t="s">
        <v>32</v>
      </c>
      <c r="D94" s="347">
        <f t="shared" si="141"/>
        <v>10636</v>
      </c>
      <c r="E94" s="348">
        <f t="shared" si="142"/>
        <v>16681.62844781312</v>
      </c>
      <c r="F94" s="349">
        <f t="shared" si="143"/>
        <v>6045.6284478131201</v>
      </c>
      <c r="G94" s="356">
        <f t="shared" si="144"/>
        <v>2659</v>
      </c>
      <c r="H94" s="357">
        <f t="shared" si="145"/>
        <v>4170.40711195328</v>
      </c>
      <c r="I94" s="303">
        <f t="shared" si="155"/>
        <v>1511.40711195328</v>
      </c>
      <c r="J94" s="357">
        <f t="shared" si="146"/>
        <v>2659</v>
      </c>
      <c r="K94" s="357">
        <f t="shared" si="147"/>
        <v>4170.40711195328</v>
      </c>
      <c r="L94" s="303">
        <f t="shared" si="148"/>
        <v>1511.40711195328</v>
      </c>
      <c r="M94" s="357">
        <f t="shared" si="149"/>
        <v>2659</v>
      </c>
      <c r="N94" s="357">
        <f t="shared" si="150"/>
        <v>4170.40711195328</v>
      </c>
      <c r="O94" s="303">
        <f t="shared" si="151"/>
        <v>1511.40711195328</v>
      </c>
      <c r="P94" s="357">
        <f t="shared" si="152"/>
        <v>2659</v>
      </c>
      <c r="Q94" s="358">
        <f t="shared" si="153"/>
        <v>4170.40711195328</v>
      </c>
      <c r="R94" s="304">
        <f t="shared" si="154"/>
        <v>1511.40711195328</v>
      </c>
    </row>
    <row r="95" spans="1:19" x14ac:dyDescent="0.3">
      <c r="A95" s="1144"/>
      <c r="B95" s="1146"/>
      <c r="C95" s="346" t="s">
        <v>33</v>
      </c>
      <c r="D95" s="347">
        <f t="shared" si="141"/>
        <v>10636</v>
      </c>
      <c r="E95" s="348">
        <f t="shared" si="142"/>
        <v>16681.62844781312</v>
      </c>
      <c r="F95" s="349">
        <f t="shared" si="143"/>
        <v>6045.6284478131201</v>
      </c>
      <c r="G95" s="356">
        <f t="shared" si="144"/>
        <v>2659</v>
      </c>
      <c r="H95" s="357">
        <f t="shared" si="145"/>
        <v>4170.40711195328</v>
      </c>
      <c r="I95" s="303">
        <f t="shared" si="155"/>
        <v>1511.40711195328</v>
      </c>
      <c r="J95" s="357">
        <f t="shared" si="146"/>
        <v>2659</v>
      </c>
      <c r="K95" s="357">
        <f t="shared" si="147"/>
        <v>4170.40711195328</v>
      </c>
      <c r="L95" s="303">
        <f t="shared" si="148"/>
        <v>1511.40711195328</v>
      </c>
      <c r="M95" s="357">
        <f t="shared" si="149"/>
        <v>2659</v>
      </c>
      <c r="N95" s="357">
        <f t="shared" si="150"/>
        <v>4170.40711195328</v>
      </c>
      <c r="O95" s="303">
        <f t="shared" si="151"/>
        <v>1511.40711195328</v>
      </c>
      <c r="P95" s="357">
        <f t="shared" si="152"/>
        <v>2659</v>
      </c>
      <c r="Q95" s="358">
        <f t="shared" si="153"/>
        <v>4170.40711195328</v>
      </c>
      <c r="R95" s="304">
        <f t="shared" si="154"/>
        <v>1511.40711195328</v>
      </c>
    </row>
    <row r="96" spans="1:19" ht="15" thickBot="1" x14ac:dyDescent="0.35">
      <c r="A96" s="1145"/>
      <c r="B96" s="1147"/>
      <c r="C96" s="359" t="s">
        <v>34</v>
      </c>
      <c r="D96" s="360">
        <f t="shared" si="141"/>
        <v>10636</v>
      </c>
      <c r="E96" s="361">
        <f t="shared" si="142"/>
        <v>16681.62844781312</v>
      </c>
      <c r="F96" s="362">
        <f t="shared" si="143"/>
        <v>6045.6284478131201</v>
      </c>
      <c r="G96" s="363">
        <f t="shared" si="144"/>
        <v>2659</v>
      </c>
      <c r="H96" s="364">
        <f t="shared" si="145"/>
        <v>4170.40711195328</v>
      </c>
      <c r="I96" s="311">
        <f t="shared" si="155"/>
        <v>1511.40711195328</v>
      </c>
      <c r="J96" s="364">
        <f t="shared" si="146"/>
        <v>2659</v>
      </c>
      <c r="K96" s="364">
        <f t="shared" si="147"/>
        <v>4170.40711195328</v>
      </c>
      <c r="L96" s="311">
        <f t="shared" si="148"/>
        <v>1511.40711195328</v>
      </c>
      <c r="M96" s="364">
        <f t="shared" si="149"/>
        <v>2659</v>
      </c>
      <c r="N96" s="364">
        <f t="shared" si="150"/>
        <v>4170.40711195328</v>
      </c>
      <c r="O96" s="311">
        <f t="shared" si="151"/>
        <v>1511.40711195328</v>
      </c>
      <c r="P96" s="364">
        <f t="shared" si="152"/>
        <v>2659</v>
      </c>
      <c r="Q96" s="365">
        <f t="shared" si="153"/>
        <v>4170.40711195328</v>
      </c>
      <c r="R96" s="312">
        <f t="shared" si="154"/>
        <v>1511.40711195328</v>
      </c>
    </row>
    <row r="97" spans="1:18" x14ac:dyDescent="0.3">
      <c r="A97" s="1144" t="s">
        <v>178</v>
      </c>
      <c r="B97" s="1146" t="s">
        <v>13</v>
      </c>
      <c r="C97" s="346" t="s">
        <v>25</v>
      </c>
      <c r="D97" s="347">
        <f t="shared" si="141"/>
        <v>2526269.4988505752</v>
      </c>
      <c r="E97" s="348">
        <f t="shared" si="142"/>
        <v>2526269.4988505752</v>
      </c>
      <c r="F97" s="349">
        <f t="shared" si="143"/>
        <v>0</v>
      </c>
      <c r="G97" s="366">
        <f>H87*G46*Faktory!$D$8</f>
        <v>2286940.3686862281</v>
      </c>
      <c r="H97" s="367">
        <f>H87*H46*Faktory!$D$8*(1+$S$46)</f>
        <v>2286940.3686862281</v>
      </c>
      <c r="I97" s="295">
        <f>H97-G97</f>
        <v>0</v>
      </c>
      <c r="J97" s="367">
        <f>K87*J46*Faktory!$D$8</f>
        <v>156483.70430823477</v>
      </c>
      <c r="K97" s="367">
        <f>K87*K46*Faktory!$D$8*(1+$S$46)</f>
        <v>156483.70430823477</v>
      </c>
      <c r="L97" s="295">
        <f>K97-J97</f>
        <v>0</v>
      </c>
      <c r="M97" s="367">
        <f>N87*M46*Faktory!$D$8</f>
        <v>77862.57118978689</v>
      </c>
      <c r="N97" s="367">
        <f>N87*N46*Faktory!$D$8*(1+$S$46)</f>
        <v>77862.57118978689</v>
      </c>
      <c r="O97" s="295">
        <f>N97-M97</f>
        <v>0</v>
      </c>
      <c r="P97" s="367">
        <f>Q87*P46*Faktory!$D$8</f>
        <v>4982.8546663256211</v>
      </c>
      <c r="Q97" s="368">
        <f>Q87*Q46*Faktory!$D$8*(1+$S$46)</f>
        <v>4982.8546663256211</v>
      </c>
      <c r="R97" s="369">
        <f>Q97-P97</f>
        <v>0</v>
      </c>
    </row>
    <row r="98" spans="1:18" x14ac:dyDescent="0.3">
      <c r="A98" s="1144"/>
      <c r="B98" s="1146"/>
      <c r="C98" s="346" t="s">
        <v>26</v>
      </c>
      <c r="D98" s="347">
        <f t="shared" si="141"/>
        <v>2526269.4988505752</v>
      </c>
      <c r="E98" s="348">
        <f t="shared" si="142"/>
        <v>2526269.4988505752</v>
      </c>
      <c r="F98" s="349">
        <f t="shared" si="143"/>
        <v>0</v>
      </c>
      <c r="G98" s="356">
        <f>H88*G47*Faktory!$D$8</f>
        <v>2286940.3686862281</v>
      </c>
      <c r="H98" s="357">
        <f>H88*H47*Faktory!$D$8*(1+$S$46)</f>
        <v>2286940.3686862281</v>
      </c>
      <c r="I98" s="303">
        <f t="shared" ref="I98:I116" si="156">H98-G98</f>
        <v>0</v>
      </c>
      <c r="J98" s="357">
        <f>K88*J47*Faktory!$D$8</f>
        <v>156483.70430823477</v>
      </c>
      <c r="K98" s="357">
        <f>K88*K47*Faktory!$D$8*(1+$S$46)</f>
        <v>156483.70430823477</v>
      </c>
      <c r="L98" s="303">
        <f t="shared" ref="L98:L116" si="157">K98-J98</f>
        <v>0</v>
      </c>
      <c r="M98" s="357">
        <f>N88*M47*Faktory!$D$8</f>
        <v>77862.57118978689</v>
      </c>
      <c r="N98" s="357">
        <f>N88*N47*Faktory!$D$8*(1+$S$46)</f>
        <v>77862.57118978689</v>
      </c>
      <c r="O98" s="303">
        <f t="shared" ref="O98:O116" si="158">N98-M98</f>
        <v>0</v>
      </c>
      <c r="P98" s="357">
        <f>Q88*P47*Faktory!$D$8</f>
        <v>4982.8546663256211</v>
      </c>
      <c r="Q98" s="358">
        <f>Q88*Q47*Faktory!$D$8*(1+$S$46)</f>
        <v>4982.8546663256211</v>
      </c>
      <c r="R98" s="304">
        <f t="shared" ref="R98:R116" si="159">Q98-P98</f>
        <v>0</v>
      </c>
    </row>
    <row r="99" spans="1:18" x14ac:dyDescent="0.3">
      <c r="A99" s="1144"/>
      <c r="B99" s="1146"/>
      <c r="C99" s="346" t="s">
        <v>27</v>
      </c>
      <c r="D99" s="347">
        <f t="shared" si="141"/>
        <v>3962231.0209541512</v>
      </c>
      <c r="E99" s="348">
        <f t="shared" si="142"/>
        <v>2526269.4988505747</v>
      </c>
      <c r="F99" s="349">
        <f t="shared" si="143"/>
        <v>-1435961.5221035762</v>
      </c>
      <c r="G99" s="356">
        <f>H89*G48*Faktory!$D$8</f>
        <v>3586864.3769018808</v>
      </c>
      <c r="H99" s="357">
        <f>H89*H48*Faktory!$D$8*(1+$S$46)</f>
        <v>2286940.3686862276</v>
      </c>
      <c r="I99" s="303">
        <f t="shared" si="156"/>
        <v>-1299924.0082156532</v>
      </c>
      <c r="J99" s="357">
        <f>K89*J48*Faktory!$D$8</f>
        <v>245430.89633390616</v>
      </c>
      <c r="K99" s="357">
        <f>K89*K48*Faktory!$D$8*(1+$S$46)</f>
        <v>156483.70430823474</v>
      </c>
      <c r="L99" s="303">
        <f t="shared" si="157"/>
        <v>-88947.192025671422</v>
      </c>
      <c r="M99" s="357">
        <f>N89*M48*Faktory!$D$8</f>
        <v>122120.57940761781</v>
      </c>
      <c r="N99" s="357">
        <f>N89*N48*Faktory!$D$8*(1+$S$46)</f>
        <v>77862.57118978686</v>
      </c>
      <c r="O99" s="303">
        <f t="shared" si="158"/>
        <v>-44258.008217830953</v>
      </c>
      <c r="P99" s="357">
        <f>Q89*P48*Faktory!$D$8</f>
        <v>7815.1683107461304</v>
      </c>
      <c r="Q99" s="358">
        <f>Q89*Q48*Faktory!$D$8*(1+$S$46)</f>
        <v>4982.8546663256202</v>
      </c>
      <c r="R99" s="304">
        <f t="shared" si="159"/>
        <v>-2832.3136444205102</v>
      </c>
    </row>
    <row r="100" spans="1:18" x14ac:dyDescent="0.3">
      <c r="A100" s="1144"/>
      <c r="B100" s="1146"/>
      <c r="C100" s="346" t="s">
        <v>28</v>
      </c>
      <c r="D100" s="347">
        <f t="shared" si="141"/>
        <v>3962231.0209541512</v>
      </c>
      <c r="E100" s="348">
        <f t="shared" si="142"/>
        <v>2526269.4988505747</v>
      </c>
      <c r="F100" s="349">
        <f t="shared" si="143"/>
        <v>-1435961.5221035762</v>
      </c>
      <c r="G100" s="356">
        <f>H90*G49*Faktory!$D$8</f>
        <v>3586864.3769018808</v>
      </c>
      <c r="H100" s="357">
        <f>H90*H49*Faktory!$D$8*(1+$S$46)</f>
        <v>2286940.3686862276</v>
      </c>
      <c r="I100" s="303">
        <f t="shared" si="156"/>
        <v>-1299924.0082156532</v>
      </c>
      <c r="J100" s="357">
        <f>K90*J49*Faktory!$D$8</f>
        <v>245430.89633390616</v>
      </c>
      <c r="K100" s="357">
        <f>K90*K49*Faktory!$D$8*(1+$S$46)</f>
        <v>156483.70430823474</v>
      </c>
      <c r="L100" s="303">
        <f t="shared" si="157"/>
        <v>-88947.192025671422</v>
      </c>
      <c r="M100" s="357">
        <f>N90*M49*Faktory!$D$8</f>
        <v>122120.57940761781</v>
      </c>
      <c r="N100" s="357">
        <f>N90*N49*Faktory!$D$8*(1+$S$46)</f>
        <v>77862.57118978686</v>
      </c>
      <c r="O100" s="303">
        <f t="shared" si="158"/>
        <v>-44258.008217830953</v>
      </c>
      <c r="P100" s="357">
        <f>Q90*P49*Faktory!$D$8</f>
        <v>7815.1683107461304</v>
      </c>
      <c r="Q100" s="358">
        <f>Q90*Q49*Faktory!$D$8*(1+$S$46)</f>
        <v>4982.8546663256202</v>
      </c>
      <c r="R100" s="304">
        <f t="shared" si="159"/>
        <v>-2832.3136444205102</v>
      </c>
    </row>
    <row r="101" spans="1:18" x14ac:dyDescent="0.3">
      <c r="A101" s="1144"/>
      <c r="B101" s="1146"/>
      <c r="C101" s="346" t="s">
        <v>29</v>
      </c>
      <c r="D101" s="347">
        <f t="shared" si="141"/>
        <v>3962231.0209541512</v>
      </c>
      <c r="E101" s="348">
        <f t="shared" si="142"/>
        <v>2526269.4988505747</v>
      </c>
      <c r="F101" s="349">
        <f t="shared" si="143"/>
        <v>-1435961.5221035762</v>
      </c>
      <c r="G101" s="356">
        <f>H91*G50*Faktory!$D$8</f>
        <v>3586864.3769018808</v>
      </c>
      <c r="H101" s="357">
        <f>H91*H50*Faktory!$D$8*(1+$S$46)</f>
        <v>2286940.3686862276</v>
      </c>
      <c r="I101" s="303">
        <f t="shared" si="156"/>
        <v>-1299924.0082156532</v>
      </c>
      <c r="J101" s="357">
        <f>K91*J50*Faktory!$D$8</f>
        <v>245430.89633390616</v>
      </c>
      <c r="K101" s="357">
        <f>K91*K50*Faktory!$D$8*(1+$S$46)</f>
        <v>156483.70430823474</v>
      </c>
      <c r="L101" s="303">
        <f t="shared" si="157"/>
        <v>-88947.192025671422</v>
      </c>
      <c r="M101" s="357">
        <f>N91*M50*Faktory!$D$8</f>
        <v>122120.57940761781</v>
      </c>
      <c r="N101" s="357">
        <f>N91*N50*Faktory!$D$8*(1+$S$46)</f>
        <v>77862.57118978686</v>
      </c>
      <c r="O101" s="303">
        <f t="shared" si="158"/>
        <v>-44258.008217830953</v>
      </c>
      <c r="P101" s="357">
        <f>Q91*P50*Faktory!$D$8</f>
        <v>7815.1683107461304</v>
      </c>
      <c r="Q101" s="358">
        <f>Q91*Q50*Faktory!$D$8*(1+$S$46)</f>
        <v>4982.8546663256202</v>
      </c>
      <c r="R101" s="304">
        <f t="shared" si="159"/>
        <v>-2832.3136444205102</v>
      </c>
    </row>
    <row r="102" spans="1:18" x14ac:dyDescent="0.3">
      <c r="A102" s="1144"/>
      <c r="B102" s="1146"/>
      <c r="C102" s="346" t="s">
        <v>30</v>
      </c>
      <c r="D102" s="347">
        <f t="shared" si="141"/>
        <v>3962231.0209541512</v>
      </c>
      <c r="E102" s="348">
        <f t="shared" si="142"/>
        <v>2526269.4988505747</v>
      </c>
      <c r="F102" s="349">
        <f t="shared" si="143"/>
        <v>-1435961.5221035762</v>
      </c>
      <c r="G102" s="356">
        <f>H92*G51*Faktory!$D$8</f>
        <v>3586864.3769018808</v>
      </c>
      <c r="H102" s="357">
        <f>H92*H51*Faktory!$D$8*(1+$S$46)</f>
        <v>2286940.3686862276</v>
      </c>
      <c r="I102" s="303">
        <f t="shared" si="156"/>
        <v>-1299924.0082156532</v>
      </c>
      <c r="J102" s="357">
        <f>K92*J51*Faktory!$D$8</f>
        <v>245430.89633390616</v>
      </c>
      <c r="K102" s="357">
        <f>K92*K51*Faktory!$D$8*(1+$S$46)</f>
        <v>156483.70430823474</v>
      </c>
      <c r="L102" s="303">
        <f t="shared" si="157"/>
        <v>-88947.192025671422</v>
      </c>
      <c r="M102" s="357">
        <f>N92*M51*Faktory!$D$8</f>
        <v>122120.57940761781</v>
      </c>
      <c r="N102" s="357">
        <f>N92*N51*Faktory!$D$8*(1+$S$46)</f>
        <v>77862.57118978686</v>
      </c>
      <c r="O102" s="303">
        <f t="shared" si="158"/>
        <v>-44258.008217830953</v>
      </c>
      <c r="P102" s="357">
        <f>Q92*P51*Faktory!$D$8</f>
        <v>7815.1683107461304</v>
      </c>
      <c r="Q102" s="358">
        <f>Q92*Q51*Faktory!$D$8*(1+$S$46)</f>
        <v>4982.8546663256202</v>
      </c>
      <c r="R102" s="304">
        <f t="shared" si="159"/>
        <v>-2832.3136444205102</v>
      </c>
    </row>
    <row r="103" spans="1:18" x14ac:dyDescent="0.3">
      <c r="A103" s="1144"/>
      <c r="B103" s="1146"/>
      <c r="C103" s="346" t="s">
        <v>31</v>
      </c>
      <c r="D103" s="347">
        <f t="shared" si="141"/>
        <v>3962231.0209541512</v>
      </c>
      <c r="E103" s="348">
        <f t="shared" si="142"/>
        <v>2526269.4988505747</v>
      </c>
      <c r="F103" s="349">
        <f t="shared" si="143"/>
        <v>-1435961.5221035762</v>
      </c>
      <c r="G103" s="356">
        <f>H93*G52*Faktory!$D$8</f>
        <v>3586864.3769018808</v>
      </c>
      <c r="H103" s="357">
        <f>H93*H52*Faktory!$D$8*(1+$S$46)</f>
        <v>2286940.3686862276</v>
      </c>
      <c r="I103" s="303">
        <f t="shared" si="156"/>
        <v>-1299924.0082156532</v>
      </c>
      <c r="J103" s="357">
        <f>K93*J52*Faktory!$D$8</f>
        <v>245430.89633390616</v>
      </c>
      <c r="K103" s="357">
        <f>K93*K52*Faktory!$D$8*(1+$S$46)</f>
        <v>156483.70430823474</v>
      </c>
      <c r="L103" s="303">
        <f t="shared" si="157"/>
        <v>-88947.192025671422</v>
      </c>
      <c r="M103" s="357">
        <f>N93*M52*Faktory!$D$8</f>
        <v>122120.57940761781</v>
      </c>
      <c r="N103" s="357">
        <f>N93*N52*Faktory!$D$8*(1+$S$46)</f>
        <v>77862.57118978686</v>
      </c>
      <c r="O103" s="303">
        <f t="shared" si="158"/>
        <v>-44258.008217830953</v>
      </c>
      <c r="P103" s="357">
        <f>Q93*P52*Faktory!$D$8</f>
        <v>7815.1683107461304</v>
      </c>
      <c r="Q103" s="358">
        <f>Q93*Q52*Faktory!$D$8*(1+$S$46)</f>
        <v>4982.8546663256202</v>
      </c>
      <c r="R103" s="304">
        <f t="shared" si="159"/>
        <v>-2832.3136444205102</v>
      </c>
    </row>
    <row r="104" spans="1:18" x14ac:dyDescent="0.3">
      <c r="A104" s="1144"/>
      <c r="B104" s="1146"/>
      <c r="C104" s="346" t="s">
        <v>32</v>
      </c>
      <c r="D104" s="347">
        <f t="shared" si="141"/>
        <v>3962231.0209541512</v>
      </c>
      <c r="E104" s="348">
        <f t="shared" si="142"/>
        <v>2526269.4988505747</v>
      </c>
      <c r="F104" s="349">
        <f t="shared" si="143"/>
        <v>-1435961.5221035762</v>
      </c>
      <c r="G104" s="356">
        <f>H94*G53*Faktory!$D$8</f>
        <v>3586864.3769018808</v>
      </c>
      <c r="H104" s="357">
        <f>H94*H53*Faktory!$D$8*(1+$S$46)</f>
        <v>2286940.3686862276</v>
      </c>
      <c r="I104" s="303">
        <f t="shared" si="156"/>
        <v>-1299924.0082156532</v>
      </c>
      <c r="J104" s="357">
        <f>K94*J53*Faktory!$D$8</f>
        <v>245430.89633390616</v>
      </c>
      <c r="K104" s="357">
        <f>K94*K53*Faktory!$D$8*(1+$S$46)</f>
        <v>156483.70430823474</v>
      </c>
      <c r="L104" s="303">
        <f t="shared" si="157"/>
        <v>-88947.192025671422</v>
      </c>
      <c r="M104" s="357">
        <f>N94*M53*Faktory!$D$8</f>
        <v>122120.57940761781</v>
      </c>
      <c r="N104" s="357">
        <f>N94*N53*Faktory!$D$8*(1+$S$46)</f>
        <v>77862.57118978686</v>
      </c>
      <c r="O104" s="303">
        <f t="shared" si="158"/>
        <v>-44258.008217830953</v>
      </c>
      <c r="P104" s="357">
        <f>Q94*P53*Faktory!$D$8</f>
        <v>7815.1683107461304</v>
      </c>
      <c r="Q104" s="358">
        <f>Q94*Q53*Faktory!$D$8*(1+$S$46)</f>
        <v>4982.8546663256202</v>
      </c>
      <c r="R104" s="304">
        <f t="shared" si="159"/>
        <v>-2832.3136444205102</v>
      </c>
    </row>
    <row r="105" spans="1:18" x14ac:dyDescent="0.3">
      <c r="A105" s="1144"/>
      <c r="B105" s="1146"/>
      <c r="C105" s="346" t="s">
        <v>33</v>
      </c>
      <c r="D105" s="347">
        <f t="shared" si="141"/>
        <v>3962231.0209541512</v>
      </c>
      <c r="E105" s="348">
        <f t="shared" si="142"/>
        <v>2526269.4988505747</v>
      </c>
      <c r="F105" s="349">
        <f t="shared" si="143"/>
        <v>-1435961.5221035762</v>
      </c>
      <c r="G105" s="356">
        <f>H95*G54*Faktory!$D$8</f>
        <v>3586864.3769018808</v>
      </c>
      <c r="H105" s="357">
        <f>H95*H54*Faktory!$D$8*(1+$S$46)</f>
        <v>2286940.3686862276</v>
      </c>
      <c r="I105" s="303">
        <f t="shared" si="156"/>
        <v>-1299924.0082156532</v>
      </c>
      <c r="J105" s="357">
        <f>K95*J54*Faktory!$D$8</f>
        <v>245430.89633390616</v>
      </c>
      <c r="K105" s="357">
        <f>K95*K54*Faktory!$D$8*(1+$S$46)</f>
        <v>156483.70430823474</v>
      </c>
      <c r="L105" s="303">
        <f t="shared" si="157"/>
        <v>-88947.192025671422</v>
      </c>
      <c r="M105" s="357">
        <f>N95*M54*Faktory!$D$8</f>
        <v>122120.57940761781</v>
      </c>
      <c r="N105" s="357">
        <f>N95*N54*Faktory!$D$8*(1+$S$46)</f>
        <v>77862.57118978686</v>
      </c>
      <c r="O105" s="303">
        <f t="shared" si="158"/>
        <v>-44258.008217830953</v>
      </c>
      <c r="P105" s="357">
        <f>Q95*P54*Faktory!$D$8</f>
        <v>7815.1683107461304</v>
      </c>
      <c r="Q105" s="358">
        <f>Q95*Q54*Faktory!$D$8*(1+$S$46)</f>
        <v>4982.8546663256202</v>
      </c>
      <c r="R105" s="304">
        <f t="shared" si="159"/>
        <v>-2832.3136444205102</v>
      </c>
    </row>
    <row r="106" spans="1:18" ht="15" thickBot="1" x14ac:dyDescent="0.35">
      <c r="A106" s="1145"/>
      <c r="B106" s="1147"/>
      <c r="C106" s="359" t="s">
        <v>34</v>
      </c>
      <c r="D106" s="360">
        <f t="shared" si="141"/>
        <v>3962231.0209541512</v>
      </c>
      <c r="E106" s="361">
        <f t="shared" si="142"/>
        <v>2526269.4988505747</v>
      </c>
      <c r="F106" s="362">
        <f t="shared" si="143"/>
        <v>-1435961.5221035762</v>
      </c>
      <c r="G106" s="363">
        <f>H96*G55*Faktory!$D$8</f>
        <v>3586864.3769018808</v>
      </c>
      <c r="H106" s="364">
        <f>H96*H55*Faktory!$D$8*(1+$S$46)</f>
        <v>2286940.3686862276</v>
      </c>
      <c r="I106" s="311">
        <f t="shared" si="156"/>
        <v>-1299924.0082156532</v>
      </c>
      <c r="J106" s="364">
        <f>K96*J55*Faktory!$D$8</f>
        <v>245430.89633390616</v>
      </c>
      <c r="K106" s="364">
        <f>K96*K55*Faktory!$D$8*(1+$S$46)</f>
        <v>156483.70430823474</v>
      </c>
      <c r="L106" s="311">
        <f t="shared" si="157"/>
        <v>-88947.192025671422</v>
      </c>
      <c r="M106" s="364">
        <f>N96*M55*Faktory!$D$8</f>
        <v>122120.57940761781</v>
      </c>
      <c r="N106" s="364">
        <f>N96*N55*Faktory!$D$8*(1+$S$46)</f>
        <v>77862.57118978686</v>
      </c>
      <c r="O106" s="311">
        <f t="shared" si="158"/>
        <v>-44258.008217830953</v>
      </c>
      <c r="P106" s="364">
        <f>Q96*P55*Faktory!$D$8</f>
        <v>7815.1683107461304</v>
      </c>
      <c r="Q106" s="365">
        <f>Q96*Q55*Faktory!$D$8*(1+$S$46)</f>
        <v>4982.8546663256202</v>
      </c>
      <c r="R106" s="312">
        <f t="shared" si="159"/>
        <v>-2832.3136444205102</v>
      </c>
    </row>
    <row r="107" spans="1:18" x14ac:dyDescent="0.3">
      <c r="A107" s="1144" t="s">
        <v>173</v>
      </c>
      <c r="B107" s="1146" t="s">
        <v>174</v>
      </c>
      <c r="C107" s="346" t="s">
        <v>25</v>
      </c>
      <c r="D107" s="370">
        <f t="shared" si="141"/>
        <v>117.46031746031747</v>
      </c>
      <c r="E107" s="371">
        <f t="shared" si="142"/>
        <v>117.46031746031747</v>
      </c>
      <c r="F107" s="372">
        <f t="shared" si="143"/>
        <v>0</v>
      </c>
      <c r="G107" s="373">
        <f t="shared" ref="G107:H116" si="160">(G6*G46)/12/21/7.5</f>
        <v>106.33257530161414</v>
      </c>
      <c r="H107" s="374">
        <f t="shared" si="160"/>
        <v>106.33257530161414</v>
      </c>
      <c r="I107" s="375">
        <f t="shared" si="156"/>
        <v>0</v>
      </c>
      <c r="J107" s="374">
        <f t="shared" ref="J107:K116" si="161">(J6*J46)/12/21/7.5</f>
        <v>7.2757976113691303</v>
      </c>
      <c r="K107" s="374">
        <f t="shared" si="161"/>
        <v>7.2757976113691303</v>
      </c>
      <c r="L107" s="375">
        <f t="shared" si="157"/>
        <v>0</v>
      </c>
      <c r="M107" s="374">
        <f t="shared" ref="M107:N116" si="162">(M6*M46)/12/21/7.5</f>
        <v>3.6202639244903039</v>
      </c>
      <c r="N107" s="374">
        <f t="shared" si="162"/>
        <v>3.6202639244903039</v>
      </c>
      <c r="O107" s="375">
        <f t="shared" si="158"/>
        <v>0</v>
      </c>
      <c r="P107" s="374">
        <f t="shared" ref="P107:Q116" si="163">(P6*P46)/12/21/7.5</f>
        <v>0.2316806228438934</v>
      </c>
      <c r="Q107" s="376">
        <f t="shared" si="163"/>
        <v>0.2316806228438934</v>
      </c>
      <c r="R107" s="377">
        <f t="shared" si="159"/>
        <v>0</v>
      </c>
    </row>
    <row r="108" spans="1:18" x14ac:dyDescent="0.3">
      <c r="A108" s="1144"/>
      <c r="B108" s="1146"/>
      <c r="C108" s="346" t="s">
        <v>26</v>
      </c>
      <c r="D108" s="370">
        <f t="shared" si="141"/>
        <v>117.46031746031747</v>
      </c>
      <c r="E108" s="371">
        <f t="shared" si="142"/>
        <v>117.46031746031747</v>
      </c>
      <c r="F108" s="372">
        <f t="shared" si="143"/>
        <v>0</v>
      </c>
      <c r="G108" s="378">
        <f t="shared" si="160"/>
        <v>106.33257530161414</v>
      </c>
      <c r="H108" s="379">
        <f t="shared" si="160"/>
        <v>106.33257530161414</v>
      </c>
      <c r="I108" s="380">
        <f t="shared" si="156"/>
        <v>0</v>
      </c>
      <c r="J108" s="379">
        <f t="shared" si="161"/>
        <v>7.2757976113691303</v>
      </c>
      <c r="K108" s="379">
        <f t="shared" si="161"/>
        <v>7.2757976113691303</v>
      </c>
      <c r="L108" s="380">
        <f t="shared" si="157"/>
        <v>0</v>
      </c>
      <c r="M108" s="379">
        <f t="shared" si="162"/>
        <v>3.6202639244903039</v>
      </c>
      <c r="N108" s="379">
        <f t="shared" si="162"/>
        <v>3.6202639244903039</v>
      </c>
      <c r="O108" s="380">
        <f t="shared" si="158"/>
        <v>0</v>
      </c>
      <c r="P108" s="379">
        <f t="shared" si="163"/>
        <v>0.2316806228438934</v>
      </c>
      <c r="Q108" s="381">
        <f t="shared" si="163"/>
        <v>0.2316806228438934</v>
      </c>
      <c r="R108" s="382">
        <f t="shared" si="159"/>
        <v>0</v>
      </c>
    </row>
    <row r="109" spans="1:18" x14ac:dyDescent="0.3">
      <c r="A109" s="1144"/>
      <c r="B109" s="1146"/>
      <c r="C109" s="346" t="s">
        <v>27</v>
      </c>
      <c r="D109" s="370">
        <f t="shared" si="141"/>
        <v>117.46031746031747</v>
      </c>
      <c r="E109" s="371">
        <f t="shared" si="142"/>
        <v>117.46031746031744</v>
      </c>
      <c r="F109" s="372">
        <f t="shared" si="143"/>
        <v>0</v>
      </c>
      <c r="G109" s="378">
        <f t="shared" si="160"/>
        <v>106.33257530161414</v>
      </c>
      <c r="H109" s="379">
        <f t="shared" si="160"/>
        <v>106.33257530161411</v>
      </c>
      <c r="I109" s="380">
        <f t="shared" si="156"/>
        <v>0</v>
      </c>
      <c r="J109" s="379">
        <f t="shared" si="161"/>
        <v>7.2757976113691303</v>
      </c>
      <c r="K109" s="379">
        <f t="shared" si="161"/>
        <v>7.2757976113691303</v>
      </c>
      <c r="L109" s="380">
        <f t="shared" si="157"/>
        <v>0</v>
      </c>
      <c r="M109" s="379">
        <f t="shared" si="162"/>
        <v>3.6202639244903039</v>
      </c>
      <c r="N109" s="379">
        <f t="shared" si="162"/>
        <v>3.6202639244903025</v>
      </c>
      <c r="O109" s="380">
        <f t="shared" si="158"/>
        <v>0</v>
      </c>
      <c r="P109" s="379">
        <f t="shared" si="163"/>
        <v>0.2316806228438934</v>
      </c>
      <c r="Q109" s="381">
        <f t="shared" si="163"/>
        <v>0.2316806228438934</v>
      </c>
      <c r="R109" s="382">
        <f t="shared" si="159"/>
        <v>0</v>
      </c>
    </row>
    <row r="110" spans="1:18" x14ac:dyDescent="0.3">
      <c r="A110" s="1144"/>
      <c r="B110" s="1146"/>
      <c r="C110" s="346" t="s">
        <v>28</v>
      </c>
      <c r="D110" s="370">
        <f t="shared" si="141"/>
        <v>117.46031746031747</v>
      </c>
      <c r="E110" s="371">
        <f t="shared" si="142"/>
        <v>117.46031746031744</v>
      </c>
      <c r="F110" s="372">
        <f t="shared" si="143"/>
        <v>0</v>
      </c>
      <c r="G110" s="378">
        <f t="shared" si="160"/>
        <v>106.33257530161414</v>
      </c>
      <c r="H110" s="379">
        <f t="shared" si="160"/>
        <v>106.33257530161411</v>
      </c>
      <c r="I110" s="380">
        <f t="shared" si="156"/>
        <v>0</v>
      </c>
      <c r="J110" s="379">
        <f t="shared" si="161"/>
        <v>7.2757976113691303</v>
      </c>
      <c r="K110" s="379">
        <f t="shared" si="161"/>
        <v>7.2757976113691303</v>
      </c>
      <c r="L110" s="380">
        <f t="shared" si="157"/>
        <v>0</v>
      </c>
      <c r="M110" s="379">
        <f t="shared" si="162"/>
        <v>3.6202639244903039</v>
      </c>
      <c r="N110" s="379">
        <f t="shared" si="162"/>
        <v>3.6202639244903025</v>
      </c>
      <c r="O110" s="380">
        <f t="shared" si="158"/>
        <v>0</v>
      </c>
      <c r="P110" s="379">
        <f t="shared" si="163"/>
        <v>0.2316806228438934</v>
      </c>
      <c r="Q110" s="381">
        <f t="shared" si="163"/>
        <v>0.2316806228438934</v>
      </c>
      <c r="R110" s="382">
        <f t="shared" si="159"/>
        <v>0</v>
      </c>
    </row>
    <row r="111" spans="1:18" x14ac:dyDescent="0.3">
      <c r="A111" s="1144"/>
      <c r="B111" s="1146"/>
      <c r="C111" s="346" t="s">
        <v>29</v>
      </c>
      <c r="D111" s="370">
        <f t="shared" si="141"/>
        <v>117.46031746031747</v>
      </c>
      <c r="E111" s="371">
        <f t="shared" si="142"/>
        <v>117.46031746031744</v>
      </c>
      <c r="F111" s="372">
        <f t="shared" si="143"/>
        <v>0</v>
      </c>
      <c r="G111" s="378">
        <f t="shared" si="160"/>
        <v>106.33257530161414</v>
      </c>
      <c r="H111" s="379">
        <f t="shared" si="160"/>
        <v>106.33257530161411</v>
      </c>
      <c r="I111" s="380">
        <f t="shared" si="156"/>
        <v>0</v>
      </c>
      <c r="J111" s="379">
        <f t="shared" si="161"/>
        <v>7.2757976113691303</v>
      </c>
      <c r="K111" s="379">
        <f t="shared" si="161"/>
        <v>7.2757976113691303</v>
      </c>
      <c r="L111" s="380">
        <f t="shared" si="157"/>
        <v>0</v>
      </c>
      <c r="M111" s="379">
        <f t="shared" si="162"/>
        <v>3.6202639244903039</v>
      </c>
      <c r="N111" s="379">
        <f t="shared" si="162"/>
        <v>3.6202639244903025</v>
      </c>
      <c r="O111" s="380">
        <f t="shared" si="158"/>
        <v>0</v>
      </c>
      <c r="P111" s="379">
        <f t="shared" si="163"/>
        <v>0.2316806228438934</v>
      </c>
      <c r="Q111" s="381">
        <f t="shared" si="163"/>
        <v>0.2316806228438934</v>
      </c>
      <c r="R111" s="382">
        <f t="shared" si="159"/>
        <v>0</v>
      </c>
    </row>
    <row r="112" spans="1:18" x14ac:dyDescent="0.3">
      <c r="A112" s="1144"/>
      <c r="B112" s="1146"/>
      <c r="C112" s="346" t="s">
        <v>30</v>
      </c>
      <c r="D112" s="370">
        <f t="shared" si="141"/>
        <v>117.46031746031747</v>
      </c>
      <c r="E112" s="371">
        <f t="shared" si="142"/>
        <v>117.46031746031744</v>
      </c>
      <c r="F112" s="372">
        <f t="shared" si="143"/>
        <v>0</v>
      </c>
      <c r="G112" s="378">
        <f t="shared" si="160"/>
        <v>106.33257530161414</v>
      </c>
      <c r="H112" s="379">
        <f t="shared" si="160"/>
        <v>106.33257530161411</v>
      </c>
      <c r="I112" s="380">
        <f t="shared" si="156"/>
        <v>0</v>
      </c>
      <c r="J112" s="379">
        <f t="shared" si="161"/>
        <v>7.2757976113691303</v>
      </c>
      <c r="K112" s="379">
        <f t="shared" si="161"/>
        <v>7.2757976113691303</v>
      </c>
      <c r="L112" s="380">
        <f t="shared" si="157"/>
        <v>0</v>
      </c>
      <c r="M112" s="379">
        <f t="shared" si="162"/>
        <v>3.6202639244903039</v>
      </c>
      <c r="N112" s="379">
        <f t="shared" si="162"/>
        <v>3.6202639244903025</v>
      </c>
      <c r="O112" s="380">
        <f t="shared" si="158"/>
        <v>0</v>
      </c>
      <c r="P112" s="379">
        <f t="shared" si="163"/>
        <v>0.2316806228438934</v>
      </c>
      <c r="Q112" s="381">
        <f t="shared" si="163"/>
        <v>0.2316806228438934</v>
      </c>
      <c r="R112" s="382">
        <f t="shared" si="159"/>
        <v>0</v>
      </c>
    </row>
    <row r="113" spans="1:18" x14ac:dyDescent="0.3">
      <c r="A113" s="1144"/>
      <c r="B113" s="1146"/>
      <c r="C113" s="346" t="s">
        <v>31</v>
      </c>
      <c r="D113" s="370">
        <f t="shared" si="141"/>
        <v>117.46031746031747</v>
      </c>
      <c r="E113" s="371">
        <f t="shared" si="142"/>
        <v>117.46031746031744</v>
      </c>
      <c r="F113" s="372">
        <f t="shared" si="143"/>
        <v>0</v>
      </c>
      <c r="G113" s="378">
        <f t="shared" si="160"/>
        <v>106.33257530161414</v>
      </c>
      <c r="H113" s="379">
        <f t="shared" si="160"/>
        <v>106.33257530161411</v>
      </c>
      <c r="I113" s="380">
        <f t="shared" si="156"/>
        <v>0</v>
      </c>
      <c r="J113" s="379">
        <f t="shared" si="161"/>
        <v>7.2757976113691303</v>
      </c>
      <c r="K113" s="379">
        <f t="shared" si="161"/>
        <v>7.2757976113691303</v>
      </c>
      <c r="L113" s="380">
        <f t="shared" si="157"/>
        <v>0</v>
      </c>
      <c r="M113" s="379">
        <f t="shared" si="162"/>
        <v>3.6202639244903039</v>
      </c>
      <c r="N113" s="379">
        <f t="shared" si="162"/>
        <v>3.6202639244903025</v>
      </c>
      <c r="O113" s="380">
        <f t="shared" si="158"/>
        <v>0</v>
      </c>
      <c r="P113" s="379">
        <f t="shared" si="163"/>
        <v>0.2316806228438934</v>
      </c>
      <c r="Q113" s="381">
        <f t="shared" si="163"/>
        <v>0.2316806228438934</v>
      </c>
      <c r="R113" s="382">
        <f t="shared" si="159"/>
        <v>0</v>
      </c>
    </row>
    <row r="114" spans="1:18" x14ac:dyDescent="0.3">
      <c r="A114" s="1144"/>
      <c r="B114" s="1146"/>
      <c r="C114" s="346" t="s">
        <v>32</v>
      </c>
      <c r="D114" s="370">
        <f t="shared" si="141"/>
        <v>117.46031746031747</v>
      </c>
      <c r="E114" s="371">
        <f t="shared" si="142"/>
        <v>117.46031746031744</v>
      </c>
      <c r="F114" s="372">
        <f t="shared" si="143"/>
        <v>0</v>
      </c>
      <c r="G114" s="378">
        <f t="shared" si="160"/>
        <v>106.33257530161414</v>
      </c>
      <c r="H114" s="379">
        <f t="shared" si="160"/>
        <v>106.33257530161411</v>
      </c>
      <c r="I114" s="380">
        <f t="shared" si="156"/>
        <v>0</v>
      </c>
      <c r="J114" s="379">
        <f t="shared" si="161"/>
        <v>7.2757976113691303</v>
      </c>
      <c r="K114" s="379">
        <f t="shared" si="161"/>
        <v>7.2757976113691303</v>
      </c>
      <c r="L114" s="380">
        <f t="shared" si="157"/>
        <v>0</v>
      </c>
      <c r="M114" s="379">
        <f t="shared" si="162"/>
        <v>3.6202639244903039</v>
      </c>
      <c r="N114" s="379">
        <f t="shared" si="162"/>
        <v>3.6202639244903025</v>
      </c>
      <c r="O114" s="380">
        <f t="shared" si="158"/>
        <v>0</v>
      </c>
      <c r="P114" s="379">
        <f t="shared" si="163"/>
        <v>0.2316806228438934</v>
      </c>
      <c r="Q114" s="381">
        <f t="shared" si="163"/>
        <v>0.2316806228438934</v>
      </c>
      <c r="R114" s="382">
        <f t="shared" si="159"/>
        <v>0</v>
      </c>
    </row>
    <row r="115" spans="1:18" x14ac:dyDescent="0.3">
      <c r="A115" s="1144"/>
      <c r="B115" s="1146"/>
      <c r="C115" s="346" t="s">
        <v>33</v>
      </c>
      <c r="D115" s="370">
        <f t="shared" si="141"/>
        <v>117.46031746031747</v>
      </c>
      <c r="E115" s="371">
        <f t="shared" si="142"/>
        <v>117.46031746031744</v>
      </c>
      <c r="F115" s="372">
        <f t="shared" si="143"/>
        <v>0</v>
      </c>
      <c r="G115" s="378">
        <f t="shared" si="160"/>
        <v>106.33257530161414</v>
      </c>
      <c r="H115" s="379">
        <f t="shared" si="160"/>
        <v>106.33257530161411</v>
      </c>
      <c r="I115" s="380">
        <f t="shared" si="156"/>
        <v>0</v>
      </c>
      <c r="J115" s="379">
        <f t="shared" si="161"/>
        <v>7.2757976113691303</v>
      </c>
      <c r="K115" s="379">
        <f t="shared" si="161"/>
        <v>7.2757976113691303</v>
      </c>
      <c r="L115" s="380">
        <f t="shared" si="157"/>
        <v>0</v>
      </c>
      <c r="M115" s="379">
        <f t="shared" si="162"/>
        <v>3.6202639244903039</v>
      </c>
      <c r="N115" s="379">
        <f t="shared" si="162"/>
        <v>3.6202639244903025</v>
      </c>
      <c r="O115" s="380">
        <f t="shared" si="158"/>
        <v>0</v>
      </c>
      <c r="P115" s="379">
        <f t="shared" si="163"/>
        <v>0.2316806228438934</v>
      </c>
      <c r="Q115" s="381">
        <f t="shared" si="163"/>
        <v>0.2316806228438934</v>
      </c>
      <c r="R115" s="382">
        <f t="shared" si="159"/>
        <v>0</v>
      </c>
    </row>
    <row r="116" spans="1:18" ht="15" thickBot="1" x14ac:dyDescent="0.35">
      <c r="A116" s="1145"/>
      <c r="B116" s="1147"/>
      <c r="C116" s="359" t="s">
        <v>34</v>
      </c>
      <c r="D116" s="383">
        <f t="shared" si="141"/>
        <v>117.46031746031747</v>
      </c>
      <c r="E116" s="384">
        <f t="shared" si="142"/>
        <v>117.46031746031744</v>
      </c>
      <c r="F116" s="385">
        <f t="shared" si="143"/>
        <v>0</v>
      </c>
      <c r="G116" s="386">
        <f t="shared" si="160"/>
        <v>106.33257530161414</v>
      </c>
      <c r="H116" s="387">
        <f t="shared" si="160"/>
        <v>106.33257530161411</v>
      </c>
      <c r="I116" s="388">
        <f t="shared" si="156"/>
        <v>0</v>
      </c>
      <c r="J116" s="387">
        <f t="shared" si="161"/>
        <v>7.2757976113691303</v>
      </c>
      <c r="K116" s="387">
        <f t="shared" si="161"/>
        <v>7.2757976113691303</v>
      </c>
      <c r="L116" s="388">
        <f t="shared" si="157"/>
        <v>0</v>
      </c>
      <c r="M116" s="387">
        <f t="shared" si="162"/>
        <v>3.6202639244903039</v>
      </c>
      <c r="N116" s="387">
        <f t="shared" si="162"/>
        <v>3.6202639244903025</v>
      </c>
      <c r="O116" s="388">
        <f t="shared" si="158"/>
        <v>0</v>
      </c>
      <c r="P116" s="387">
        <f t="shared" si="163"/>
        <v>0.2316806228438934</v>
      </c>
      <c r="Q116" s="389">
        <f t="shared" si="163"/>
        <v>0.2316806228438934</v>
      </c>
      <c r="R116" s="390">
        <f t="shared" si="159"/>
        <v>0</v>
      </c>
    </row>
    <row r="117" spans="1:18" x14ac:dyDescent="0.3">
      <c r="A117" s="1144" t="s">
        <v>177</v>
      </c>
      <c r="B117" s="1146" t="s">
        <v>13</v>
      </c>
      <c r="C117" s="346" t="s">
        <v>25</v>
      </c>
      <c r="D117" s="347">
        <f t="shared" si="141"/>
        <v>0</v>
      </c>
      <c r="E117" s="348">
        <f t="shared" si="142"/>
        <v>0</v>
      </c>
      <c r="F117" s="349">
        <f t="shared" si="143"/>
        <v>0</v>
      </c>
      <c r="G117" s="366">
        <v>0</v>
      </c>
      <c r="H117" s="367">
        <f>(G87+I87/2)*((G56-H56)*(1+$S$56))*Faktory!$D$10</f>
        <v>0</v>
      </c>
      <c r="I117" s="295">
        <f>H117</f>
        <v>0</v>
      </c>
      <c r="J117" s="367">
        <v>0</v>
      </c>
      <c r="K117" s="367">
        <f>(J87+L87/2)*((J56-K56)*(1+$S$56))*Faktory!$D$10</f>
        <v>0</v>
      </c>
      <c r="L117" s="295">
        <f>K117</f>
        <v>0</v>
      </c>
      <c r="M117" s="367">
        <v>0</v>
      </c>
      <c r="N117" s="367">
        <f>(M87+O87/2)*((M56-N56)*(1+$S$56))*Faktory!$D$10</f>
        <v>0</v>
      </c>
      <c r="O117" s="295">
        <f>N117</f>
        <v>0</v>
      </c>
      <c r="P117" s="367">
        <v>0</v>
      </c>
      <c r="Q117" s="368">
        <f>(P87+R87/2)*((P56-Q56)*(1+$S$56))*Faktory!$D$10</f>
        <v>0</v>
      </c>
      <c r="R117" s="369">
        <f>Q117</f>
        <v>0</v>
      </c>
    </row>
    <row r="118" spans="1:18" x14ac:dyDescent="0.3">
      <c r="A118" s="1144"/>
      <c r="B118" s="1146"/>
      <c r="C118" s="346" t="s">
        <v>26</v>
      </c>
      <c r="D118" s="347">
        <f t="shared" si="141"/>
        <v>0</v>
      </c>
      <c r="E118" s="348">
        <f t="shared" si="142"/>
        <v>0</v>
      </c>
      <c r="F118" s="349">
        <f t="shared" si="143"/>
        <v>0</v>
      </c>
      <c r="G118" s="356">
        <v>0</v>
      </c>
      <c r="H118" s="357">
        <f>(G88+I88/2)*((G57-H57)*(1+$S$56))*Faktory!$D$10</f>
        <v>0</v>
      </c>
      <c r="I118" s="303">
        <f t="shared" ref="I118:I126" si="164">H118</f>
        <v>0</v>
      </c>
      <c r="J118" s="357">
        <v>0</v>
      </c>
      <c r="K118" s="357">
        <f>(J88+L88/2)*((J57-K57)*(1+$S$56))*Faktory!$D$10</f>
        <v>0</v>
      </c>
      <c r="L118" s="303">
        <f t="shared" ref="L118:L126" si="165">K118</f>
        <v>0</v>
      </c>
      <c r="M118" s="357">
        <v>0</v>
      </c>
      <c r="N118" s="357">
        <f>(M88+O88/2)*((M57-N57)*(1+$S$56))*Faktory!$D$10</f>
        <v>0</v>
      </c>
      <c r="O118" s="303">
        <f t="shared" ref="O118:O126" si="166">N118</f>
        <v>0</v>
      </c>
      <c r="P118" s="357">
        <v>0</v>
      </c>
      <c r="Q118" s="358">
        <f>(P88+R88/2)*((P57-Q57)*(1+$S$56))*Faktory!$D$10</f>
        <v>0</v>
      </c>
      <c r="R118" s="304">
        <f t="shared" ref="R118:R126" si="167">Q118</f>
        <v>0</v>
      </c>
    </row>
    <row r="119" spans="1:18" x14ac:dyDescent="0.3">
      <c r="A119" s="1144"/>
      <c r="B119" s="1146"/>
      <c r="C119" s="346" t="s">
        <v>27</v>
      </c>
      <c r="D119" s="347">
        <f t="shared" si="141"/>
        <v>0</v>
      </c>
      <c r="E119" s="348">
        <f t="shared" si="142"/>
        <v>0</v>
      </c>
      <c r="F119" s="349">
        <f t="shared" si="143"/>
        <v>0</v>
      </c>
      <c r="G119" s="356">
        <v>0</v>
      </c>
      <c r="H119" s="357">
        <f>(G89+I89/2)*((G58-H58)*(1+$S$56))*Faktory!$D$10</f>
        <v>0</v>
      </c>
      <c r="I119" s="303">
        <f t="shared" si="164"/>
        <v>0</v>
      </c>
      <c r="J119" s="357">
        <v>0</v>
      </c>
      <c r="K119" s="357">
        <f>(J89+L89/2)*((J58-K58)*(1+$S$56))*Faktory!$D$10</f>
        <v>0</v>
      </c>
      <c r="L119" s="303">
        <f t="shared" si="165"/>
        <v>0</v>
      </c>
      <c r="M119" s="357">
        <v>0</v>
      </c>
      <c r="N119" s="357">
        <f>(M89+O89/2)*((M58-N58)*(1+$S$56))*Faktory!$D$10</f>
        <v>0</v>
      </c>
      <c r="O119" s="303">
        <f t="shared" si="166"/>
        <v>0</v>
      </c>
      <c r="P119" s="357">
        <v>0</v>
      </c>
      <c r="Q119" s="358">
        <f>(P89+R89/2)*((P58-Q58)*(1+$S$56))*Faktory!$D$10</f>
        <v>0</v>
      </c>
      <c r="R119" s="304">
        <f t="shared" si="167"/>
        <v>0</v>
      </c>
    </row>
    <row r="120" spans="1:18" x14ac:dyDescent="0.3">
      <c r="A120" s="1144"/>
      <c r="B120" s="1146"/>
      <c r="C120" s="346" t="s">
        <v>28</v>
      </c>
      <c r="D120" s="347">
        <f t="shared" si="141"/>
        <v>0</v>
      </c>
      <c r="E120" s="348">
        <f t="shared" si="142"/>
        <v>0</v>
      </c>
      <c r="F120" s="349">
        <f t="shared" si="143"/>
        <v>0</v>
      </c>
      <c r="G120" s="356">
        <v>0</v>
      </c>
      <c r="H120" s="357">
        <f>(G90+I90/2)*((G59-H59)*(1+$S$56))*Faktory!$D$10</f>
        <v>0</v>
      </c>
      <c r="I120" s="303">
        <f t="shared" si="164"/>
        <v>0</v>
      </c>
      <c r="J120" s="357">
        <v>0</v>
      </c>
      <c r="K120" s="357">
        <f>(J90+L90/2)*((J59-K59)*(1+$S$56))*Faktory!$D$10</f>
        <v>0</v>
      </c>
      <c r="L120" s="303">
        <f t="shared" si="165"/>
        <v>0</v>
      </c>
      <c r="M120" s="357">
        <v>0</v>
      </c>
      <c r="N120" s="357">
        <f>(M90+O90/2)*((M59-N59)*(1+$S$56))*Faktory!$D$10</f>
        <v>0</v>
      </c>
      <c r="O120" s="303">
        <f t="shared" si="166"/>
        <v>0</v>
      </c>
      <c r="P120" s="357">
        <v>0</v>
      </c>
      <c r="Q120" s="358">
        <f>(P90+R90/2)*((P59-Q59)*(1+$S$56))*Faktory!$D$10</f>
        <v>0</v>
      </c>
      <c r="R120" s="304">
        <f t="shared" si="167"/>
        <v>0</v>
      </c>
    </row>
    <row r="121" spans="1:18" x14ac:dyDescent="0.3">
      <c r="A121" s="1144"/>
      <c r="B121" s="1146"/>
      <c r="C121" s="346" t="s">
        <v>29</v>
      </c>
      <c r="D121" s="347">
        <f t="shared" si="141"/>
        <v>0</v>
      </c>
      <c r="E121" s="348">
        <f t="shared" si="142"/>
        <v>0</v>
      </c>
      <c r="F121" s="349">
        <f t="shared" si="143"/>
        <v>0</v>
      </c>
      <c r="G121" s="356">
        <v>0</v>
      </c>
      <c r="H121" s="357">
        <f>(G91+I91/2)*((G60-H60)*(1+$S$56))*Faktory!$D$10</f>
        <v>0</v>
      </c>
      <c r="I121" s="303">
        <f t="shared" si="164"/>
        <v>0</v>
      </c>
      <c r="J121" s="357">
        <v>0</v>
      </c>
      <c r="K121" s="357">
        <f>(J91+L91/2)*((J60-K60)*(1+$S$56))*Faktory!$D$10</f>
        <v>0</v>
      </c>
      <c r="L121" s="303">
        <f t="shared" si="165"/>
        <v>0</v>
      </c>
      <c r="M121" s="357">
        <v>0</v>
      </c>
      <c r="N121" s="357">
        <f>(M91+O91/2)*((M60-N60)*(1+$S$56))*Faktory!$D$10</f>
        <v>0</v>
      </c>
      <c r="O121" s="303">
        <f t="shared" si="166"/>
        <v>0</v>
      </c>
      <c r="P121" s="357">
        <v>0</v>
      </c>
      <c r="Q121" s="358">
        <f>(P91+R91/2)*((P60-Q60)*(1+$S$56))*Faktory!$D$10</f>
        <v>0</v>
      </c>
      <c r="R121" s="304">
        <f t="shared" si="167"/>
        <v>0</v>
      </c>
    </row>
    <row r="122" spans="1:18" x14ac:dyDescent="0.3">
      <c r="A122" s="1144"/>
      <c r="B122" s="1146"/>
      <c r="C122" s="346" t="s">
        <v>30</v>
      </c>
      <c r="D122" s="347">
        <f t="shared" si="141"/>
        <v>0</v>
      </c>
      <c r="E122" s="348">
        <f t="shared" si="142"/>
        <v>0</v>
      </c>
      <c r="F122" s="349">
        <f t="shared" si="143"/>
        <v>0</v>
      </c>
      <c r="G122" s="356">
        <v>0</v>
      </c>
      <c r="H122" s="357">
        <f>(G92+I92/2)*((G61-H61)*(1+$S$56))*Faktory!$D$10</f>
        <v>0</v>
      </c>
      <c r="I122" s="303">
        <f t="shared" si="164"/>
        <v>0</v>
      </c>
      <c r="J122" s="357">
        <v>0</v>
      </c>
      <c r="K122" s="357">
        <f>(J92+L92/2)*((J61-K61)*(1+$S$56))*Faktory!$D$10</f>
        <v>0</v>
      </c>
      <c r="L122" s="303">
        <f t="shared" si="165"/>
        <v>0</v>
      </c>
      <c r="M122" s="357">
        <v>0</v>
      </c>
      <c r="N122" s="357">
        <f>(M92+O92/2)*((M61-N61)*(1+$S$56))*Faktory!$D$10</f>
        <v>0</v>
      </c>
      <c r="O122" s="303">
        <f t="shared" si="166"/>
        <v>0</v>
      </c>
      <c r="P122" s="357">
        <v>0</v>
      </c>
      <c r="Q122" s="358">
        <f>(P92+R92/2)*((P61-Q61)*(1+$S$56))*Faktory!$D$10</f>
        <v>0</v>
      </c>
      <c r="R122" s="304">
        <f t="shared" si="167"/>
        <v>0</v>
      </c>
    </row>
    <row r="123" spans="1:18" x14ac:dyDescent="0.3">
      <c r="A123" s="1144"/>
      <c r="B123" s="1146"/>
      <c r="C123" s="346" t="s">
        <v>31</v>
      </c>
      <c r="D123" s="347">
        <f t="shared" si="141"/>
        <v>0</v>
      </c>
      <c r="E123" s="348">
        <f t="shared" si="142"/>
        <v>0</v>
      </c>
      <c r="F123" s="349">
        <f t="shared" si="143"/>
        <v>0</v>
      </c>
      <c r="G123" s="356">
        <v>0</v>
      </c>
      <c r="H123" s="357">
        <f>(G93+I93/2)*((G62-H62)*(1+$S$56))*Faktory!$D$10</f>
        <v>0</v>
      </c>
      <c r="I123" s="303">
        <f t="shared" si="164"/>
        <v>0</v>
      </c>
      <c r="J123" s="357">
        <v>0</v>
      </c>
      <c r="K123" s="357">
        <f>(J93+L93/2)*((J62-K62)*(1+$S$56))*Faktory!$D$10</f>
        <v>0</v>
      </c>
      <c r="L123" s="303">
        <f t="shared" si="165"/>
        <v>0</v>
      </c>
      <c r="M123" s="357">
        <v>0</v>
      </c>
      <c r="N123" s="357">
        <f>(M93+O93/2)*((M62-N62)*(1+$S$56))*Faktory!$D$10</f>
        <v>0</v>
      </c>
      <c r="O123" s="303">
        <f t="shared" si="166"/>
        <v>0</v>
      </c>
      <c r="P123" s="357">
        <v>0</v>
      </c>
      <c r="Q123" s="358">
        <f>(P93+R93/2)*((P62-Q62)*(1+$S$56))*Faktory!$D$10</f>
        <v>0</v>
      </c>
      <c r="R123" s="304">
        <f t="shared" si="167"/>
        <v>0</v>
      </c>
    </row>
    <row r="124" spans="1:18" x14ac:dyDescent="0.3">
      <c r="A124" s="1144"/>
      <c r="B124" s="1146"/>
      <c r="C124" s="346" t="s">
        <v>32</v>
      </c>
      <c r="D124" s="347">
        <f t="shared" si="141"/>
        <v>0</v>
      </c>
      <c r="E124" s="348">
        <f t="shared" si="142"/>
        <v>0</v>
      </c>
      <c r="F124" s="349">
        <f t="shared" si="143"/>
        <v>0</v>
      </c>
      <c r="G124" s="356">
        <v>0</v>
      </c>
      <c r="H124" s="357">
        <f>(G94+I94/2)*((G63-H63)*(1+$S$56))*Faktory!$D$10</f>
        <v>0</v>
      </c>
      <c r="I124" s="303">
        <f t="shared" si="164"/>
        <v>0</v>
      </c>
      <c r="J124" s="357">
        <v>0</v>
      </c>
      <c r="K124" s="357">
        <f>(J94+L94/2)*((J63-K63)*(1+$S$56))*Faktory!$D$10</f>
        <v>0</v>
      </c>
      <c r="L124" s="303">
        <f t="shared" si="165"/>
        <v>0</v>
      </c>
      <c r="M124" s="357">
        <v>0</v>
      </c>
      <c r="N124" s="357">
        <f>(M94+O94/2)*((M63-N63)*(1+$S$56))*Faktory!$D$10</f>
        <v>0</v>
      </c>
      <c r="O124" s="303">
        <f t="shared" si="166"/>
        <v>0</v>
      </c>
      <c r="P124" s="357">
        <v>0</v>
      </c>
      <c r="Q124" s="358">
        <f>(P94+R94/2)*((P63-Q63)*(1+$S$56))*Faktory!$D$10</f>
        <v>0</v>
      </c>
      <c r="R124" s="304">
        <f t="shared" si="167"/>
        <v>0</v>
      </c>
    </row>
    <row r="125" spans="1:18" x14ac:dyDescent="0.3">
      <c r="A125" s="1144"/>
      <c r="B125" s="1146"/>
      <c r="C125" s="346" t="s">
        <v>33</v>
      </c>
      <c r="D125" s="347">
        <f t="shared" si="141"/>
        <v>0</v>
      </c>
      <c r="E125" s="348">
        <f t="shared" si="142"/>
        <v>0</v>
      </c>
      <c r="F125" s="349">
        <f t="shared" si="143"/>
        <v>0</v>
      </c>
      <c r="G125" s="356">
        <v>0</v>
      </c>
      <c r="H125" s="357">
        <f>(G95+I95/2)*((G64-H64)*(1+$S$56))*Faktory!$D$10</f>
        <v>0</v>
      </c>
      <c r="I125" s="303">
        <f t="shared" si="164"/>
        <v>0</v>
      </c>
      <c r="J125" s="357">
        <v>0</v>
      </c>
      <c r="K125" s="357">
        <f>(J95+L95/2)*((J64-K64)*(1+$S$56))*Faktory!$D$10</f>
        <v>0</v>
      </c>
      <c r="L125" s="303">
        <f t="shared" si="165"/>
        <v>0</v>
      </c>
      <c r="M125" s="357">
        <v>0</v>
      </c>
      <c r="N125" s="357">
        <f>(M95+O95/2)*((M64-N64)*(1+$S$56))*Faktory!$D$10</f>
        <v>0</v>
      </c>
      <c r="O125" s="303">
        <f t="shared" si="166"/>
        <v>0</v>
      </c>
      <c r="P125" s="357">
        <v>0</v>
      </c>
      <c r="Q125" s="358">
        <f>(P95+R95/2)*((P64-Q64)*(1+$S$56))*Faktory!$D$10</f>
        <v>0</v>
      </c>
      <c r="R125" s="304">
        <f t="shared" si="167"/>
        <v>0</v>
      </c>
    </row>
    <row r="126" spans="1:18" ht="15" thickBot="1" x14ac:dyDescent="0.35">
      <c r="A126" s="1145"/>
      <c r="B126" s="1147"/>
      <c r="C126" s="359" t="s">
        <v>34</v>
      </c>
      <c r="D126" s="360">
        <f t="shared" si="141"/>
        <v>0</v>
      </c>
      <c r="E126" s="361">
        <f t="shared" si="142"/>
        <v>0</v>
      </c>
      <c r="F126" s="362">
        <f t="shared" si="143"/>
        <v>0</v>
      </c>
      <c r="G126" s="363">
        <v>0</v>
      </c>
      <c r="H126" s="364">
        <f>(G96+I96/2)*((G65-H65)*(1+$S$56))*Faktory!$D$10</f>
        <v>0</v>
      </c>
      <c r="I126" s="311">
        <f t="shared" si="164"/>
        <v>0</v>
      </c>
      <c r="J126" s="364">
        <v>0</v>
      </c>
      <c r="K126" s="364">
        <f>(J96+L96/2)*((J65-K65)*(1+$S$56))*Faktory!$D$10</f>
        <v>0</v>
      </c>
      <c r="L126" s="311">
        <f t="shared" si="165"/>
        <v>0</v>
      </c>
      <c r="M126" s="364">
        <v>0</v>
      </c>
      <c r="N126" s="364">
        <f>(M96+O96/2)*((M65-N65)*(1+$S$56))*Faktory!$D$10</f>
        <v>0</v>
      </c>
      <c r="O126" s="311">
        <f t="shared" si="166"/>
        <v>0</v>
      </c>
      <c r="P126" s="364">
        <v>0</v>
      </c>
      <c r="Q126" s="365">
        <f>(P96+R96/2)*((P65-Q65)*(1+$S$56))*Faktory!$D$10</f>
        <v>0</v>
      </c>
      <c r="R126" s="312">
        <f t="shared" si="167"/>
        <v>0</v>
      </c>
    </row>
    <row r="127" spans="1:18" x14ac:dyDescent="0.3">
      <c r="A127" s="1144" t="s">
        <v>179</v>
      </c>
      <c r="B127" s="1146" t="s">
        <v>13</v>
      </c>
      <c r="C127" s="346" t="s">
        <v>25</v>
      </c>
      <c r="D127" s="347">
        <f t="shared" ref="D127:D166" si="168">G127+J127+M127+P127</f>
        <v>0</v>
      </c>
      <c r="E127" s="348">
        <f t="shared" ref="E127:E166" si="169">H127+K127+N127+Q127</f>
        <v>0</v>
      </c>
      <c r="F127" s="349">
        <f>E127-D127</f>
        <v>0</v>
      </c>
      <c r="G127" s="366">
        <f t="shared" ref="G127:H136" si="170">G6*G26</f>
        <v>0</v>
      </c>
      <c r="H127" s="367">
        <f t="shared" si="170"/>
        <v>0</v>
      </c>
      <c r="I127" s="295">
        <f>H127-G127</f>
        <v>0</v>
      </c>
      <c r="J127" s="367">
        <f t="shared" ref="J127:K136" si="171">J6*J26</f>
        <v>0</v>
      </c>
      <c r="K127" s="367">
        <f t="shared" si="171"/>
        <v>0</v>
      </c>
      <c r="L127" s="295">
        <f t="shared" ref="L127:L136" si="172">K127-J127</f>
        <v>0</v>
      </c>
      <c r="M127" s="367">
        <f t="shared" ref="M127:N136" si="173">M6*M26</f>
        <v>0</v>
      </c>
      <c r="N127" s="367">
        <f t="shared" si="173"/>
        <v>0</v>
      </c>
      <c r="O127" s="295">
        <f t="shared" ref="O127:O136" si="174">N127-M127</f>
        <v>0</v>
      </c>
      <c r="P127" s="367">
        <f t="shared" ref="P127:Q136" si="175">P6*P26</f>
        <v>0</v>
      </c>
      <c r="Q127" s="368">
        <f t="shared" si="175"/>
        <v>0</v>
      </c>
      <c r="R127" s="369">
        <f t="shared" ref="R127:R136" si="176">Q127-P127</f>
        <v>0</v>
      </c>
    </row>
    <row r="128" spans="1:18" x14ac:dyDescent="0.3">
      <c r="A128" s="1144"/>
      <c r="B128" s="1146"/>
      <c r="C128" s="346" t="s">
        <v>26</v>
      </c>
      <c r="D128" s="347">
        <f t="shared" si="168"/>
        <v>0</v>
      </c>
      <c r="E128" s="348">
        <f t="shared" si="169"/>
        <v>0</v>
      </c>
      <c r="F128" s="349">
        <f t="shared" ref="F128:F136" si="177">E128-D128</f>
        <v>0</v>
      </c>
      <c r="G128" s="356">
        <f t="shared" si="170"/>
        <v>0</v>
      </c>
      <c r="H128" s="357">
        <f t="shared" si="170"/>
        <v>0</v>
      </c>
      <c r="I128" s="303">
        <f t="shared" ref="I128:I136" si="178">H128-G128</f>
        <v>0</v>
      </c>
      <c r="J128" s="357">
        <f t="shared" si="171"/>
        <v>0</v>
      </c>
      <c r="K128" s="357">
        <f t="shared" si="171"/>
        <v>0</v>
      </c>
      <c r="L128" s="303">
        <f t="shared" si="172"/>
        <v>0</v>
      </c>
      <c r="M128" s="357">
        <f t="shared" si="173"/>
        <v>0</v>
      </c>
      <c r="N128" s="357">
        <f t="shared" si="173"/>
        <v>0</v>
      </c>
      <c r="O128" s="303">
        <f t="shared" si="174"/>
        <v>0</v>
      </c>
      <c r="P128" s="357">
        <f t="shared" si="175"/>
        <v>0</v>
      </c>
      <c r="Q128" s="358">
        <f t="shared" si="175"/>
        <v>0</v>
      </c>
      <c r="R128" s="304">
        <f t="shared" si="176"/>
        <v>0</v>
      </c>
    </row>
    <row r="129" spans="1:18" x14ac:dyDescent="0.3">
      <c r="A129" s="1144"/>
      <c r="B129" s="1146"/>
      <c r="C129" s="346" t="s">
        <v>27</v>
      </c>
      <c r="D129" s="347">
        <f t="shared" si="168"/>
        <v>0</v>
      </c>
      <c r="E129" s="348">
        <f t="shared" si="169"/>
        <v>0</v>
      </c>
      <c r="F129" s="349">
        <f t="shared" si="177"/>
        <v>0</v>
      </c>
      <c r="G129" s="356">
        <f t="shared" si="170"/>
        <v>0</v>
      </c>
      <c r="H129" s="357">
        <f t="shared" si="170"/>
        <v>0</v>
      </c>
      <c r="I129" s="303">
        <f t="shared" si="178"/>
        <v>0</v>
      </c>
      <c r="J129" s="357">
        <f t="shared" si="171"/>
        <v>0</v>
      </c>
      <c r="K129" s="357">
        <f t="shared" si="171"/>
        <v>0</v>
      </c>
      <c r="L129" s="303">
        <f t="shared" si="172"/>
        <v>0</v>
      </c>
      <c r="M129" s="357">
        <f t="shared" si="173"/>
        <v>0</v>
      </c>
      <c r="N129" s="357">
        <f t="shared" si="173"/>
        <v>0</v>
      </c>
      <c r="O129" s="303">
        <f t="shared" si="174"/>
        <v>0</v>
      </c>
      <c r="P129" s="357">
        <f t="shared" si="175"/>
        <v>0</v>
      </c>
      <c r="Q129" s="358">
        <f t="shared" si="175"/>
        <v>0</v>
      </c>
      <c r="R129" s="304">
        <f t="shared" si="176"/>
        <v>0</v>
      </c>
    </row>
    <row r="130" spans="1:18" x14ac:dyDescent="0.3">
      <c r="A130" s="1144"/>
      <c r="B130" s="1146"/>
      <c r="C130" s="346" t="s">
        <v>28</v>
      </c>
      <c r="D130" s="347">
        <f t="shared" si="168"/>
        <v>0</v>
      </c>
      <c r="E130" s="348">
        <f t="shared" si="169"/>
        <v>0</v>
      </c>
      <c r="F130" s="349">
        <f t="shared" si="177"/>
        <v>0</v>
      </c>
      <c r="G130" s="356">
        <f t="shared" si="170"/>
        <v>0</v>
      </c>
      <c r="H130" s="357">
        <f t="shared" si="170"/>
        <v>0</v>
      </c>
      <c r="I130" s="303">
        <f t="shared" si="178"/>
        <v>0</v>
      </c>
      <c r="J130" s="357">
        <f t="shared" si="171"/>
        <v>0</v>
      </c>
      <c r="K130" s="357">
        <f t="shared" si="171"/>
        <v>0</v>
      </c>
      <c r="L130" s="303">
        <f t="shared" si="172"/>
        <v>0</v>
      </c>
      <c r="M130" s="357">
        <f t="shared" si="173"/>
        <v>0</v>
      </c>
      <c r="N130" s="357">
        <f t="shared" si="173"/>
        <v>0</v>
      </c>
      <c r="O130" s="303">
        <f t="shared" si="174"/>
        <v>0</v>
      </c>
      <c r="P130" s="357">
        <f t="shared" si="175"/>
        <v>0</v>
      </c>
      <c r="Q130" s="358">
        <f t="shared" si="175"/>
        <v>0</v>
      </c>
      <c r="R130" s="304">
        <f t="shared" si="176"/>
        <v>0</v>
      </c>
    </row>
    <row r="131" spans="1:18" x14ac:dyDescent="0.3">
      <c r="A131" s="1144"/>
      <c r="B131" s="1146"/>
      <c r="C131" s="346" t="s">
        <v>29</v>
      </c>
      <c r="D131" s="347">
        <f t="shared" si="168"/>
        <v>0</v>
      </c>
      <c r="E131" s="348">
        <f t="shared" si="169"/>
        <v>0</v>
      </c>
      <c r="F131" s="349">
        <f t="shared" si="177"/>
        <v>0</v>
      </c>
      <c r="G131" s="356">
        <f t="shared" si="170"/>
        <v>0</v>
      </c>
      <c r="H131" s="357">
        <f t="shared" si="170"/>
        <v>0</v>
      </c>
      <c r="I131" s="303">
        <f t="shared" si="178"/>
        <v>0</v>
      </c>
      <c r="J131" s="357">
        <f t="shared" si="171"/>
        <v>0</v>
      </c>
      <c r="K131" s="357">
        <f t="shared" si="171"/>
        <v>0</v>
      </c>
      <c r="L131" s="303">
        <f t="shared" si="172"/>
        <v>0</v>
      </c>
      <c r="M131" s="357">
        <f t="shared" si="173"/>
        <v>0</v>
      </c>
      <c r="N131" s="357">
        <f t="shared" si="173"/>
        <v>0</v>
      </c>
      <c r="O131" s="303">
        <f t="shared" si="174"/>
        <v>0</v>
      </c>
      <c r="P131" s="357">
        <f t="shared" si="175"/>
        <v>0</v>
      </c>
      <c r="Q131" s="358">
        <f t="shared" si="175"/>
        <v>0</v>
      </c>
      <c r="R131" s="304">
        <f t="shared" si="176"/>
        <v>0</v>
      </c>
    </row>
    <row r="132" spans="1:18" x14ac:dyDescent="0.3">
      <c r="A132" s="1144"/>
      <c r="B132" s="1146"/>
      <c r="C132" s="346" t="s">
        <v>30</v>
      </c>
      <c r="D132" s="347">
        <f t="shared" si="168"/>
        <v>0</v>
      </c>
      <c r="E132" s="348">
        <f t="shared" si="169"/>
        <v>0</v>
      </c>
      <c r="F132" s="349">
        <f t="shared" si="177"/>
        <v>0</v>
      </c>
      <c r="G132" s="356">
        <f t="shared" si="170"/>
        <v>0</v>
      </c>
      <c r="H132" s="357">
        <f t="shared" si="170"/>
        <v>0</v>
      </c>
      <c r="I132" s="303">
        <f t="shared" si="178"/>
        <v>0</v>
      </c>
      <c r="J132" s="357">
        <f t="shared" si="171"/>
        <v>0</v>
      </c>
      <c r="K132" s="357">
        <f t="shared" si="171"/>
        <v>0</v>
      </c>
      <c r="L132" s="303">
        <f t="shared" si="172"/>
        <v>0</v>
      </c>
      <c r="M132" s="357">
        <f t="shared" si="173"/>
        <v>0</v>
      </c>
      <c r="N132" s="357">
        <f t="shared" si="173"/>
        <v>0</v>
      </c>
      <c r="O132" s="303">
        <f t="shared" si="174"/>
        <v>0</v>
      </c>
      <c r="P132" s="357">
        <f t="shared" si="175"/>
        <v>0</v>
      </c>
      <c r="Q132" s="358">
        <f t="shared" si="175"/>
        <v>0</v>
      </c>
      <c r="R132" s="304">
        <f t="shared" si="176"/>
        <v>0</v>
      </c>
    </row>
    <row r="133" spans="1:18" x14ac:dyDescent="0.3">
      <c r="A133" s="1144"/>
      <c r="B133" s="1146"/>
      <c r="C133" s="346" t="s">
        <v>31</v>
      </c>
      <c r="D133" s="347">
        <f t="shared" si="168"/>
        <v>0</v>
      </c>
      <c r="E133" s="348">
        <f t="shared" si="169"/>
        <v>0</v>
      </c>
      <c r="F133" s="349">
        <f t="shared" si="177"/>
        <v>0</v>
      </c>
      <c r="G133" s="356">
        <f t="shared" si="170"/>
        <v>0</v>
      </c>
      <c r="H133" s="357">
        <f t="shared" si="170"/>
        <v>0</v>
      </c>
      <c r="I133" s="303">
        <f t="shared" si="178"/>
        <v>0</v>
      </c>
      <c r="J133" s="357">
        <f t="shared" si="171"/>
        <v>0</v>
      </c>
      <c r="K133" s="357">
        <f t="shared" si="171"/>
        <v>0</v>
      </c>
      <c r="L133" s="303">
        <f t="shared" si="172"/>
        <v>0</v>
      </c>
      <c r="M133" s="357">
        <f t="shared" si="173"/>
        <v>0</v>
      </c>
      <c r="N133" s="357">
        <f t="shared" si="173"/>
        <v>0</v>
      </c>
      <c r="O133" s="303">
        <f t="shared" si="174"/>
        <v>0</v>
      </c>
      <c r="P133" s="357">
        <f t="shared" si="175"/>
        <v>0</v>
      </c>
      <c r="Q133" s="358">
        <f t="shared" si="175"/>
        <v>0</v>
      </c>
      <c r="R133" s="304">
        <f t="shared" si="176"/>
        <v>0</v>
      </c>
    </row>
    <row r="134" spans="1:18" x14ac:dyDescent="0.3">
      <c r="A134" s="1144"/>
      <c r="B134" s="1146"/>
      <c r="C134" s="346" t="s">
        <v>32</v>
      </c>
      <c r="D134" s="347">
        <f t="shared" si="168"/>
        <v>0</v>
      </c>
      <c r="E134" s="348">
        <f t="shared" si="169"/>
        <v>0</v>
      </c>
      <c r="F134" s="349">
        <f t="shared" si="177"/>
        <v>0</v>
      </c>
      <c r="G134" s="356">
        <f t="shared" si="170"/>
        <v>0</v>
      </c>
      <c r="H134" s="357">
        <f t="shared" si="170"/>
        <v>0</v>
      </c>
      <c r="I134" s="303">
        <f t="shared" si="178"/>
        <v>0</v>
      </c>
      <c r="J134" s="357">
        <f t="shared" si="171"/>
        <v>0</v>
      </c>
      <c r="K134" s="357">
        <f t="shared" si="171"/>
        <v>0</v>
      </c>
      <c r="L134" s="303">
        <f t="shared" si="172"/>
        <v>0</v>
      </c>
      <c r="M134" s="357">
        <f t="shared" si="173"/>
        <v>0</v>
      </c>
      <c r="N134" s="357">
        <f t="shared" si="173"/>
        <v>0</v>
      </c>
      <c r="O134" s="303">
        <f t="shared" si="174"/>
        <v>0</v>
      </c>
      <c r="P134" s="357">
        <f t="shared" si="175"/>
        <v>0</v>
      </c>
      <c r="Q134" s="358">
        <f t="shared" si="175"/>
        <v>0</v>
      </c>
      <c r="R134" s="304">
        <f t="shared" si="176"/>
        <v>0</v>
      </c>
    </row>
    <row r="135" spans="1:18" x14ac:dyDescent="0.3">
      <c r="A135" s="1144"/>
      <c r="B135" s="1146"/>
      <c r="C135" s="346" t="s">
        <v>33</v>
      </c>
      <c r="D135" s="347">
        <f t="shared" si="168"/>
        <v>0</v>
      </c>
      <c r="E135" s="348">
        <f t="shared" si="169"/>
        <v>0</v>
      </c>
      <c r="F135" s="349">
        <f t="shared" si="177"/>
        <v>0</v>
      </c>
      <c r="G135" s="356">
        <f t="shared" si="170"/>
        <v>0</v>
      </c>
      <c r="H135" s="357">
        <f t="shared" si="170"/>
        <v>0</v>
      </c>
      <c r="I135" s="303">
        <f t="shared" si="178"/>
        <v>0</v>
      </c>
      <c r="J135" s="357">
        <f t="shared" si="171"/>
        <v>0</v>
      </c>
      <c r="K135" s="357">
        <f t="shared" si="171"/>
        <v>0</v>
      </c>
      <c r="L135" s="303">
        <f t="shared" si="172"/>
        <v>0</v>
      </c>
      <c r="M135" s="357">
        <f t="shared" si="173"/>
        <v>0</v>
      </c>
      <c r="N135" s="357">
        <f t="shared" si="173"/>
        <v>0</v>
      </c>
      <c r="O135" s="303">
        <f t="shared" si="174"/>
        <v>0</v>
      </c>
      <c r="P135" s="357">
        <f t="shared" si="175"/>
        <v>0</v>
      </c>
      <c r="Q135" s="358">
        <f t="shared" si="175"/>
        <v>0</v>
      </c>
      <c r="R135" s="304">
        <f t="shared" si="176"/>
        <v>0</v>
      </c>
    </row>
    <row r="136" spans="1:18" ht="15" thickBot="1" x14ac:dyDescent="0.35">
      <c r="A136" s="1145"/>
      <c r="B136" s="1147"/>
      <c r="C136" s="359" t="s">
        <v>34</v>
      </c>
      <c r="D136" s="360">
        <f t="shared" si="168"/>
        <v>0</v>
      </c>
      <c r="E136" s="361">
        <f t="shared" si="169"/>
        <v>0</v>
      </c>
      <c r="F136" s="362">
        <f t="shared" si="177"/>
        <v>0</v>
      </c>
      <c r="G136" s="363">
        <f t="shared" si="170"/>
        <v>0</v>
      </c>
      <c r="H136" s="364">
        <f t="shared" si="170"/>
        <v>0</v>
      </c>
      <c r="I136" s="311">
        <f t="shared" si="178"/>
        <v>0</v>
      </c>
      <c r="J136" s="364">
        <f t="shared" si="171"/>
        <v>0</v>
      </c>
      <c r="K136" s="364">
        <f t="shared" si="171"/>
        <v>0</v>
      </c>
      <c r="L136" s="311">
        <f t="shared" si="172"/>
        <v>0</v>
      </c>
      <c r="M136" s="364">
        <f t="shared" si="173"/>
        <v>0</v>
      </c>
      <c r="N136" s="364">
        <f t="shared" si="173"/>
        <v>0</v>
      </c>
      <c r="O136" s="311">
        <f t="shared" si="174"/>
        <v>0</v>
      </c>
      <c r="P136" s="364">
        <f t="shared" si="175"/>
        <v>0</v>
      </c>
      <c r="Q136" s="365">
        <f t="shared" si="175"/>
        <v>0</v>
      </c>
      <c r="R136" s="312">
        <f t="shared" si="176"/>
        <v>0</v>
      </c>
    </row>
    <row r="137" spans="1:18" x14ac:dyDescent="0.3">
      <c r="A137" s="1144" t="s">
        <v>175</v>
      </c>
      <c r="B137" s="1146" t="s">
        <v>13</v>
      </c>
      <c r="C137" s="346" t="s">
        <v>25</v>
      </c>
      <c r="D137" s="347">
        <f t="shared" si="168"/>
        <v>0</v>
      </c>
      <c r="E137" s="348">
        <f t="shared" si="169"/>
        <v>0</v>
      </c>
      <c r="F137" s="349">
        <f t="shared" ref="F137:F166" si="179">I137+L137+O137+R137</f>
        <v>0</v>
      </c>
      <c r="G137" s="366">
        <f t="shared" ref="G137:H146" si="180">G6*G36</f>
        <v>0</v>
      </c>
      <c r="H137" s="367">
        <f t="shared" si="180"/>
        <v>0</v>
      </c>
      <c r="I137" s="295">
        <f>H137-G137</f>
        <v>0</v>
      </c>
      <c r="J137" s="367">
        <f t="shared" ref="J137:K146" si="181">J6*J36</f>
        <v>0</v>
      </c>
      <c r="K137" s="367">
        <f t="shared" si="181"/>
        <v>0</v>
      </c>
      <c r="L137" s="295">
        <f>K137-J137</f>
        <v>0</v>
      </c>
      <c r="M137" s="367">
        <f t="shared" ref="M137:N146" si="182">M6*M36</f>
        <v>0</v>
      </c>
      <c r="N137" s="367">
        <f t="shared" si="182"/>
        <v>0</v>
      </c>
      <c r="O137" s="295">
        <f>N137-M137</f>
        <v>0</v>
      </c>
      <c r="P137" s="367">
        <f t="shared" ref="P137:Q146" si="183">P6*P36</f>
        <v>0</v>
      </c>
      <c r="Q137" s="368">
        <f t="shared" si="183"/>
        <v>0</v>
      </c>
      <c r="R137" s="369">
        <f>Q137-P137</f>
        <v>0</v>
      </c>
    </row>
    <row r="138" spans="1:18" x14ac:dyDescent="0.3">
      <c r="A138" s="1144"/>
      <c r="B138" s="1146"/>
      <c r="C138" s="346" t="s">
        <v>26</v>
      </c>
      <c r="D138" s="347">
        <f t="shared" si="168"/>
        <v>0</v>
      </c>
      <c r="E138" s="348">
        <f t="shared" si="169"/>
        <v>0</v>
      </c>
      <c r="F138" s="349">
        <f t="shared" si="179"/>
        <v>0</v>
      </c>
      <c r="G138" s="356">
        <f t="shared" si="180"/>
        <v>0</v>
      </c>
      <c r="H138" s="357">
        <f t="shared" si="180"/>
        <v>0</v>
      </c>
      <c r="I138" s="303">
        <f t="shared" ref="I138:I146" si="184">H138-G138</f>
        <v>0</v>
      </c>
      <c r="J138" s="357">
        <f t="shared" si="181"/>
        <v>0</v>
      </c>
      <c r="K138" s="357">
        <f t="shared" si="181"/>
        <v>0</v>
      </c>
      <c r="L138" s="303">
        <f t="shared" ref="L138:L146" si="185">K138-J138</f>
        <v>0</v>
      </c>
      <c r="M138" s="357">
        <f t="shared" si="182"/>
        <v>0</v>
      </c>
      <c r="N138" s="357">
        <f t="shared" si="182"/>
        <v>0</v>
      </c>
      <c r="O138" s="303">
        <f t="shared" ref="O138:O146" si="186">N138-M138</f>
        <v>0</v>
      </c>
      <c r="P138" s="357">
        <f t="shared" si="183"/>
        <v>0</v>
      </c>
      <c r="Q138" s="358">
        <f t="shared" si="183"/>
        <v>0</v>
      </c>
      <c r="R138" s="304">
        <f t="shared" ref="R138:R146" si="187">Q138-P138</f>
        <v>0</v>
      </c>
    </row>
    <row r="139" spans="1:18" x14ac:dyDescent="0.3">
      <c r="A139" s="1144"/>
      <c r="B139" s="1146"/>
      <c r="C139" s="346" t="s">
        <v>27</v>
      </c>
      <c r="D139" s="347">
        <f t="shared" si="168"/>
        <v>0</v>
      </c>
      <c r="E139" s="348">
        <f t="shared" si="169"/>
        <v>0</v>
      </c>
      <c r="F139" s="349">
        <f t="shared" si="179"/>
        <v>0</v>
      </c>
      <c r="G139" s="356">
        <f t="shared" si="180"/>
        <v>0</v>
      </c>
      <c r="H139" s="357">
        <f t="shared" si="180"/>
        <v>0</v>
      </c>
      <c r="I139" s="303">
        <f t="shared" si="184"/>
        <v>0</v>
      </c>
      <c r="J139" s="357">
        <f t="shared" si="181"/>
        <v>0</v>
      </c>
      <c r="K139" s="357">
        <f t="shared" si="181"/>
        <v>0</v>
      </c>
      <c r="L139" s="303">
        <f t="shared" si="185"/>
        <v>0</v>
      </c>
      <c r="M139" s="357">
        <f t="shared" si="182"/>
        <v>0</v>
      </c>
      <c r="N139" s="357">
        <f t="shared" si="182"/>
        <v>0</v>
      </c>
      <c r="O139" s="303">
        <f t="shared" si="186"/>
        <v>0</v>
      </c>
      <c r="P139" s="357">
        <f t="shared" si="183"/>
        <v>0</v>
      </c>
      <c r="Q139" s="358">
        <f t="shared" si="183"/>
        <v>0</v>
      </c>
      <c r="R139" s="304">
        <f t="shared" si="187"/>
        <v>0</v>
      </c>
    </row>
    <row r="140" spans="1:18" x14ac:dyDescent="0.3">
      <c r="A140" s="1144"/>
      <c r="B140" s="1146"/>
      <c r="C140" s="346" t="s">
        <v>28</v>
      </c>
      <c r="D140" s="347">
        <f t="shared" si="168"/>
        <v>0</v>
      </c>
      <c r="E140" s="348">
        <f t="shared" si="169"/>
        <v>0</v>
      </c>
      <c r="F140" s="349">
        <f t="shared" si="179"/>
        <v>0</v>
      </c>
      <c r="G140" s="356">
        <f t="shared" si="180"/>
        <v>0</v>
      </c>
      <c r="H140" s="357">
        <f t="shared" si="180"/>
        <v>0</v>
      </c>
      <c r="I140" s="303">
        <f t="shared" si="184"/>
        <v>0</v>
      </c>
      <c r="J140" s="357">
        <f t="shared" si="181"/>
        <v>0</v>
      </c>
      <c r="K140" s="357">
        <f t="shared" si="181"/>
        <v>0</v>
      </c>
      <c r="L140" s="303">
        <f t="shared" si="185"/>
        <v>0</v>
      </c>
      <c r="M140" s="357">
        <f t="shared" si="182"/>
        <v>0</v>
      </c>
      <c r="N140" s="357">
        <f t="shared" si="182"/>
        <v>0</v>
      </c>
      <c r="O140" s="303">
        <f t="shared" si="186"/>
        <v>0</v>
      </c>
      <c r="P140" s="357">
        <f t="shared" si="183"/>
        <v>0</v>
      </c>
      <c r="Q140" s="358">
        <f t="shared" si="183"/>
        <v>0</v>
      </c>
      <c r="R140" s="304">
        <f t="shared" si="187"/>
        <v>0</v>
      </c>
    </row>
    <row r="141" spans="1:18" x14ac:dyDescent="0.3">
      <c r="A141" s="1144"/>
      <c r="B141" s="1146"/>
      <c r="C141" s="346" t="s">
        <v>29</v>
      </c>
      <c r="D141" s="347">
        <f t="shared" si="168"/>
        <v>0</v>
      </c>
      <c r="E141" s="348">
        <f t="shared" si="169"/>
        <v>0</v>
      </c>
      <c r="F141" s="349">
        <f t="shared" si="179"/>
        <v>0</v>
      </c>
      <c r="G141" s="356">
        <f t="shared" si="180"/>
        <v>0</v>
      </c>
      <c r="H141" s="357">
        <f t="shared" si="180"/>
        <v>0</v>
      </c>
      <c r="I141" s="303">
        <f t="shared" si="184"/>
        <v>0</v>
      </c>
      <c r="J141" s="357">
        <f t="shared" si="181"/>
        <v>0</v>
      </c>
      <c r="K141" s="357">
        <f t="shared" si="181"/>
        <v>0</v>
      </c>
      <c r="L141" s="303">
        <f t="shared" si="185"/>
        <v>0</v>
      </c>
      <c r="M141" s="357">
        <f t="shared" si="182"/>
        <v>0</v>
      </c>
      <c r="N141" s="357">
        <f t="shared" si="182"/>
        <v>0</v>
      </c>
      <c r="O141" s="303">
        <f t="shared" si="186"/>
        <v>0</v>
      </c>
      <c r="P141" s="357">
        <f t="shared" si="183"/>
        <v>0</v>
      </c>
      <c r="Q141" s="358">
        <f t="shared" si="183"/>
        <v>0</v>
      </c>
      <c r="R141" s="304">
        <f t="shared" si="187"/>
        <v>0</v>
      </c>
    </row>
    <row r="142" spans="1:18" x14ac:dyDescent="0.3">
      <c r="A142" s="1144"/>
      <c r="B142" s="1146"/>
      <c r="C142" s="346" t="s">
        <v>30</v>
      </c>
      <c r="D142" s="347">
        <f t="shared" si="168"/>
        <v>0</v>
      </c>
      <c r="E142" s="348">
        <f t="shared" si="169"/>
        <v>0</v>
      </c>
      <c r="F142" s="349">
        <f t="shared" si="179"/>
        <v>0</v>
      </c>
      <c r="G142" s="356">
        <f t="shared" si="180"/>
        <v>0</v>
      </c>
      <c r="H142" s="357">
        <f t="shared" si="180"/>
        <v>0</v>
      </c>
      <c r="I142" s="303">
        <f t="shared" si="184"/>
        <v>0</v>
      </c>
      <c r="J142" s="357">
        <f t="shared" si="181"/>
        <v>0</v>
      </c>
      <c r="K142" s="357">
        <f t="shared" si="181"/>
        <v>0</v>
      </c>
      <c r="L142" s="303">
        <f t="shared" si="185"/>
        <v>0</v>
      </c>
      <c r="M142" s="357">
        <f t="shared" si="182"/>
        <v>0</v>
      </c>
      <c r="N142" s="357">
        <f t="shared" si="182"/>
        <v>0</v>
      </c>
      <c r="O142" s="303">
        <f t="shared" si="186"/>
        <v>0</v>
      </c>
      <c r="P142" s="357">
        <f t="shared" si="183"/>
        <v>0</v>
      </c>
      <c r="Q142" s="358">
        <f t="shared" si="183"/>
        <v>0</v>
      </c>
      <c r="R142" s="304">
        <f t="shared" si="187"/>
        <v>0</v>
      </c>
    </row>
    <row r="143" spans="1:18" x14ac:dyDescent="0.3">
      <c r="A143" s="1144"/>
      <c r="B143" s="1146"/>
      <c r="C143" s="346" t="s">
        <v>31</v>
      </c>
      <c r="D143" s="347">
        <f t="shared" si="168"/>
        <v>0</v>
      </c>
      <c r="E143" s="348">
        <f t="shared" si="169"/>
        <v>0</v>
      </c>
      <c r="F143" s="349">
        <f t="shared" si="179"/>
        <v>0</v>
      </c>
      <c r="G143" s="356">
        <f t="shared" si="180"/>
        <v>0</v>
      </c>
      <c r="H143" s="357">
        <f t="shared" si="180"/>
        <v>0</v>
      </c>
      <c r="I143" s="303">
        <f t="shared" si="184"/>
        <v>0</v>
      </c>
      <c r="J143" s="357">
        <f t="shared" si="181"/>
        <v>0</v>
      </c>
      <c r="K143" s="357">
        <f t="shared" si="181"/>
        <v>0</v>
      </c>
      <c r="L143" s="303">
        <f t="shared" si="185"/>
        <v>0</v>
      </c>
      <c r="M143" s="357">
        <f t="shared" si="182"/>
        <v>0</v>
      </c>
      <c r="N143" s="357">
        <f t="shared" si="182"/>
        <v>0</v>
      </c>
      <c r="O143" s="303">
        <f t="shared" si="186"/>
        <v>0</v>
      </c>
      <c r="P143" s="357">
        <f t="shared" si="183"/>
        <v>0</v>
      </c>
      <c r="Q143" s="358">
        <f t="shared" si="183"/>
        <v>0</v>
      </c>
      <c r="R143" s="304">
        <f t="shared" si="187"/>
        <v>0</v>
      </c>
    </row>
    <row r="144" spans="1:18" x14ac:dyDescent="0.3">
      <c r="A144" s="1144"/>
      <c r="B144" s="1146"/>
      <c r="C144" s="346" t="s">
        <v>32</v>
      </c>
      <c r="D144" s="347">
        <f t="shared" si="168"/>
        <v>0</v>
      </c>
      <c r="E144" s="348">
        <f t="shared" si="169"/>
        <v>0</v>
      </c>
      <c r="F144" s="349">
        <f t="shared" si="179"/>
        <v>0</v>
      </c>
      <c r="G144" s="356">
        <f t="shared" si="180"/>
        <v>0</v>
      </c>
      <c r="H144" s="357">
        <f t="shared" si="180"/>
        <v>0</v>
      </c>
      <c r="I144" s="303">
        <f t="shared" si="184"/>
        <v>0</v>
      </c>
      <c r="J144" s="357">
        <f t="shared" si="181"/>
        <v>0</v>
      </c>
      <c r="K144" s="357">
        <f t="shared" si="181"/>
        <v>0</v>
      </c>
      <c r="L144" s="303">
        <f t="shared" si="185"/>
        <v>0</v>
      </c>
      <c r="M144" s="357">
        <f t="shared" si="182"/>
        <v>0</v>
      </c>
      <c r="N144" s="357">
        <f t="shared" si="182"/>
        <v>0</v>
      </c>
      <c r="O144" s="303">
        <f t="shared" si="186"/>
        <v>0</v>
      </c>
      <c r="P144" s="357">
        <f t="shared" si="183"/>
        <v>0</v>
      </c>
      <c r="Q144" s="358">
        <f t="shared" si="183"/>
        <v>0</v>
      </c>
      <c r="R144" s="304">
        <f t="shared" si="187"/>
        <v>0</v>
      </c>
    </row>
    <row r="145" spans="1:19" x14ac:dyDescent="0.3">
      <c r="A145" s="1144"/>
      <c r="B145" s="1146"/>
      <c r="C145" s="346" t="s">
        <v>33</v>
      </c>
      <c r="D145" s="347">
        <f t="shared" si="168"/>
        <v>0</v>
      </c>
      <c r="E145" s="348">
        <f t="shared" si="169"/>
        <v>0</v>
      </c>
      <c r="F145" s="349">
        <f t="shared" si="179"/>
        <v>0</v>
      </c>
      <c r="G145" s="356">
        <f t="shared" si="180"/>
        <v>0</v>
      </c>
      <c r="H145" s="357">
        <f t="shared" si="180"/>
        <v>0</v>
      </c>
      <c r="I145" s="303">
        <f t="shared" si="184"/>
        <v>0</v>
      </c>
      <c r="J145" s="357">
        <f t="shared" si="181"/>
        <v>0</v>
      </c>
      <c r="K145" s="357">
        <f t="shared" si="181"/>
        <v>0</v>
      </c>
      <c r="L145" s="303">
        <f t="shared" si="185"/>
        <v>0</v>
      </c>
      <c r="M145" s="357">
        <f t="shared" si="182"/>
        <v>0</v>
      </c>
      <c r="N145" s="357">
        <f t="shared" si="182"/>
        <v>0</v>
      </c>
      <c r="O145" s="303">
        <f t="shared" si="186"/>
        <v>0</v>
      </c>
      <c r="P145" s="357">
        <f t="shared" si="183"/>
        <v>0</v>
      </c>
      <c r="Q145" s="358">
        <f t="shared" si="183"/>
        <v>0</v>
      </c>
      <c r="R145" s="304">
        <f t="shared" si="187"/>
        <v>0</v>
      </c>
    </row>
    <row r="146" spans="1:19" ht="15" thickBot="1" x14ac:dyDescent="0.35">
      <c r="A146" s="1145"/>
      <c r="B146" s="1147"/>
      <c r="C146" s="359" t="s">
        <v>34</v>
      </c>
      <c r="D146" s="360">
        <f t="shared" si="168"/>
        <v>0</v>
      </c>
      <c r="E146" s="361">
        <f t="shared" si="169"/>
        <v>0</v>
      </c>
      <c r="F146" s="362">
        <f t="shared" si="179"/>
        <v>0</v>
      </c>
      <c r="G146" s="363">
        <f t="shared" si="180"/>
        <v>0</v>
      </c>
      <c r="H146" s="364">
        <f t="shared" si="180"/>
        <v>0</v>
      </c>
      <c r="I146" s="311">
        <f t="shared" si="184"/>
        <v>0</v>
      </c>
      <c r="J146" s="364">
        <f t="shared" si="181"/>
        <v>0</v>
      </c>
      <c r="K146" s="364">
        <f t="shared" si="181"/>
        <v>0</v>
      </c>
      <c r="L146" s="311">
        <f t="shared" si="185"/>
        <v>0</v>
      </c>
      <c r="M146" s="364">
        <f t="shared" si="182"/>
        <v>0</v>
      </c>
      <c r="N146" s="364">
        <f t="shared" si="182"/>
        <v>0</v>
      </c>
      <c r="O146" s="311">
        <f t="shared" si="186"/>
        <v>0</v>
      </c>
      <c r="P146" s="364">
        <f t="shared" si="183"/>
        <v>0</v>
      </c>
      <c r="Q146" s="365">
        <f t="shared" si="183"/>
        <v>0</v>
      </c>
      <c r="R146" s="312">
        <f t="shared" si="187"/>
        <v>0</v>
      </c>
    </row>
    <row r="147" spans="1:19" x14ac:dyDescent="0.3">
      <c r="A147" s="1144" t="s">
        <v>635</v>
      </c>
      <c r="B147" s="1146" t="s">
        <v>13</v>
      </c>
      <c r="C147" s="346" t="s">
        <v>25</v>
      </c>
      <c r="D147" s="347">
        <f t="shared" ref="D147:D156" si="188">G147+J147+M147+P147</f>
        <v>4100416.9554666658</v>
      </c>
      <c r="E147" s="348">
        <f t="shared" ref="E147:E156" si="189">H147+K147+N147+Q147</f>
        <v>4100416.9554666658</v>
      </c>
      <c r="F147" s="349">
        <f t="shared" ref="F147:F156" si="190">I147+L147+O147+R147</f>
        <v>0</v>
      </c>
      <c r="G147" s="366">
        <f>G6*G66</f>
        <v>3711959.1034008111</v>
      </c>
      <c r="H147" s="367">
        <f>H6*H66</f>
        <v>3711959.1034008111</v>
      </c>
      <c r="I147" s="295">
        <f>H147-G147</f>
        <v>0</v>
      </c>
      <c r="J147" s="367">
        <f>J6*J66</f>
        <v>253990.4925787455</v>
      </c>
      <c r="K147" s="367">
        <f>K6*K66</f>
        <v>253990.4925787455</v>
      </c>
      <c r="L147" s="295">
        <f>K147-J147</f>
        <v>0</v>
      </c>
      <c r="M147" s="367">
        <f>M6*M66</f>
        <v>126379.63101248557</v>
      </c>
      <c r="N147" s="367">
        <f>N6*N66</f>
        <v>126379.63101248557</v>
      </c>
      <c r="O147" s="295">
        <f>N147-M147</f>
        <v>0</v>
      </c>
      <c r="P147" s="367">
        <f>P6*P66</f>
        <v>8087.7284746239502</v>
      </c>
      <c r="Q147" s="368">
        <f>Q6*Q66</f>
        <v>8087.7284746239502</v>
      </c>
      <c r="R147" s="369">
        <f>Q147-P147</f>
        <v>0</v>
      </c>
    </row>
    <row r="148" spans="1:19" x14ac:dyDescent="0.3">
      <c r="A148" s="1144"/>
      <c r="B148" s="1146"/>
      <c r="C148" s="346" t="s">
        <v>26</v>
      </c>
      <c r="D148" s="347">
        <f t="shared" si="188"/>
        <v>4100416.9554666658</v>
      </c>
      <c r="E148" s="348">
        <f t="shared" si="189"/>
        <v>4100416.9554666658</v>
      </c>
      <c r="F148" s="349">
        <f t="shared" si="190"/>
        <v>0</v>
      </c>
      <c r="G148" s="356">
        <f t="shared" ref="G148" si="191">G7*G67</f>
        <v>3711959.1034008111</v>
      </c>
      <c r="H148" s="357">
        <f t="shared" ref="H148:H156" si="192">H7*H67</f>
        <v>3711959.1034008111</v>
      </c>
      <c r="I148" s="303">
        <f t="shared" ref="I148:I156" si="193">H148-G148</f>
        <v>0</v>
      </c>
      <c r="J148" s="357">
        <f t="shared" ref="J148" si="194">J7*J67</f>
        <v>253990.4925787455</v>
      </c>
      <c r="K148" s="357">
        <f t="shared" ref="K148:K156" si="195">K7*K67</f>
        <v>253990.4925787455</v>
      </c>
      <c r="L148" s="303">
        <f t="shared" ref="L148:L156" si="196">K148-J148</f>
        <v>0</v>
      </c>
      <c r="M148" s="357">
        <f t="shared" ref="M148" si="197">M7*M67</f>
        <v>126379.63101248557</v>
      </c>
      <c r="N148" s="357">
        <f t="shared" ref="N148:N156" si="198">N7*N67</f>
        <v>126379.63101248557</v>
      </c>
      <c r="O148" s="303">
        <f t="shared" ref="O148:O156" si="199">N148-M148</f>
        <v>0</v>
      </c>
      <c r="P148" s="357">
        <f t="shared" ref="P148" si="200">P7*P67</f>
        <v>8087.7284746239502</v>
      </c>
      <c r="Q148" s="358">
        <f t="shared" ref="Q148:Q156" si="201">Q7*Q67</f>
        <v>8087.7284746239502</v>
      </c>
      <c r="R148" s="304">
        <f t="shared" ref="R148:R156" si="202">Q148-P148</f>
        <v>0</v>
      </c>
    </row>
    <row r="149" spans="1:19" x14ac:dyDescent="0.3">
      <c r="A149" s="1144"/>
      <c r="B149" s="1146"/>
      <c r="C149" s="346" t="s">
        <v>27</v>
      </c>
      <c r="D149" s="347">
        <f t="shared" si="188"/>
        <v>4100416.9554666658</v>
      </c>
      <c r="E149" s="348">
        <f t="shared" si="189"/>
        <v>6431142.5472177509</v>
      </c>
      <c r="F149" s="349">
        <f t="shared" si="190"/>
        <v>2330725.5917510851</v>
      </c>
      <c r="G149" s="356">
        <f t="shared" ref="G149" si="203">G8*G68</f>
        <v>3711959.1034008111</v>
      </c>
      <c r="H149" s="357">
        <f t="shared" si="192"/>
        <v>5821880.648402581</v>
      </c>
      <c r="I149" s="303">
        <f t="shared" si="193"/>
        <v>2109921.5450017699</v>
      </c>
      <c r="J149" s="357">
        <f t="shared" ref="J149" si="204">J8*J68</f>
        <v>253990.4925787455</v>
      </c>
      <c r="K149" s="357">
        <f t="shared" si="195"/>
        <v>398361.6986156138</v>
      </c>
      <c r="L149" s="303">
        <f t="shared" si="196"/>
        <v>144371.2060368683</v>
      </c>
      <c r="M149" s="357">
        <f t="shared" ref="M149" si="205">M8*M68</f>
        <v>126379.63101248557</v>
      </c>
      <c r="N149" s="357">
        <f t="shared" si="198"/>
        <v>198215.31101184696</v>
      </c>
      <c r="O149" s="303">
        <f t="shared" si="199"/>
        <v>71835.679999361397</v>
      </c>
      <c r="P149" s="357">
        <f t="shared" ref="P149" si="206">P8*P68</f>
        <v>8087.7284746239502</v>
      </c>
      <c r="Q149" s="358">
        <f t="shared" si="201"/>
        <v>12684.889187709205</v>
      </c>
      <c r="R149" s="304">
        <f t="shared" si="202"/>
        <v>4597.1607130852544</v>
      </c>
    </row>
    <row r="150" spans="1:19" x14ac:dyDescent="0.3">
      <c r="A150" s="1144"/>
      <c r="B150" s="1146"/>
      <c r="C150" s="346" t="s">
        <v>28</v>
      </c>
      <c r="D150" s="347">
        <f t="shared" si="188"/>
        <v>4100416.9554666658</v>
      </c>
      <c r="E150" s="348">
        <f t="shared" si="189"/>
        <v>6431142.5472177509</v>
      </c>
      <c r="F150" s="349">
        <f t="shared" si="190"/>
        <v>2330725.5917510851</v>
      </c>
      <c r="G150" s="356">
        <f t="shared" ref="G150" si="207">G9*G69</f>
        <v>3711959.1034008111</v>
      </c>
      <c r="H150" s="357">
        <f t="shared" si="192"/>
        <v>5821880.648402581</v>
      </c>
      <c r="I150" s="303">
        <f t="shared" si="193"/>
        <v>2109921.5450017699</v>
      </c>
      <c r="J150" s="357">
        <f t="shared" ref="J150" si="208">J9*J69</f>
        <v>253990.4925787455</v>
      </c>
      <c r="K150" s="357">
        <f t="shared" si="195"/>
        <v>398361.6986156138</v>
      </c>
      <c r="L150" s="303">
        <f t="shared" si="196"/>
        <v>144371.2060368683</v>
      </c>
      <c r="M150" s="357">
        <f t="shared" ref="M150" si="209">M9*M69</f>
        <v>126379.63101248557</v>
      </c>
      <c r="N150" s="357">
        <f t="shared" si="198"/>
        <v>198215.31101184696</v>
      </c>
      <c r="O150" s="303">
        <f t="shared" si="199"/>
        <v>71835.679999361397</v>
      </c>
      <c r="P150" s="357">
        <f t="shared" ref="P150" si="210">P9*P69</f>
        <v>8087.7284746239502</v>
      </c>
      <c r="Q150" s="358">
        <f t="shared" si="201"/>
        <v>12684.889187709205</v>
      </c>
      <c r="R150" s="304">
        <f t="shared" si="202"/>
        <v>4597.1607130852544</v>
      </c>
    </row>
    <row r="151" spans="1:19" x14ac:dyDescent="0.3">
      <c r="A151" s="1144"/>
      <c r="B151" s="1146"/>
      <c r="C151" s="346" t="s">
        <v>29</v>
      </c>
      <c r="D151" s="347">
        <f t="shared" si="188"/>
        <v>4100416.9554666658</v>
      </c>
      <c r="E151" s="348">
        <f t="shared" si="189"/>
        <v>6431142.5472177509</v>
      </c>
      <c r="F151" s="349">
        <f t="shared" si="190"/>
        <v>2330725.5917510851</v>
      </c>
      <c r="G151" s="356">
        <f t="shared" ref="G151" si="211">G10*G70</f>
        <v>3711959.1034008111</v>
      </c>
      <c r="H151" s="357">
        <f t="shared" si="192"/>
        <v>5821880.648402581</v>
      </c>
      <c r="I151" s="303">
        <f t="shared" si="193"/>
        <v>2109921.5450017699</v>
      </c>
      <c r="J151" s="357">
        <f t="shared" ref="J151" si="212">J10*J70</f>
        <v>253990.4925787455</v>
      </c>
      <c r="K151" s="357">
        <f t="shared" si="195"/>
        <v>398361.6986156138</v>
      </c>
      <c r="L151" s="303">
        <f t="shared" si="196"/>
        <v>144371.2060368683</v>
      </c>
      <c r="M151" s="357">
        <f t="shared" ref="M151" si="213">M10*M70</f>
        <v>126379.63101248557</v>
      </c>
      <c r="N151" s="357">
        <f t="shared" si="198"/>
        <v>198215.31101184696</v>
      </c>
      <c r="O151" s="303">
        <f t="shared" si="199"/>
        <v>71835.679999361397</v>
      </c>
      <c r="P151" s="357">
        <f t="shared" ref="P151" si="214">P10*P70</f>
        <v>8087.7284746239502</v>
      </c>
      <c r="Q151" s="358">
        <f t="shared" si="201"/>
        <v>12684.889187709205</v>
      </c>
      <c r="R151" s="304">
        <f t="shared" si="202"/>
        <v>4597.1607130852544</v>
      </c>
    </row>
    <row r="152" spans="1:19" x14ac:dyDescent="0.3">
      <c r="A152" s="1144"/>
      <c r="B152" s="1146"/>
      <c r="C152" s="346" t="s">
        <v>30</v>
      </c>
      <c r="D152" s="347">
        <f t="shared" si="188"/>
        <v>4100416.9554666658</v>
      </c>
      <c r="E152" s="348">
        <f t="shared" si="189"/>
        <v>6431142.5472177509</v>
      </c>
      <c r="F152" s="349">
        <f t="shared" si="190"/>
        <v>2330725.5917510851</v>
      </c>
      <c r="G152" s="356">
        <f t="shared" ref="G152" si="215">G11*G71</f>
        <v>3711959.1034008111</v>
      </c>
      <c r="H152" s="357">
        <f t="shared" si="192"/>
        <v>5821880.648402581</v>
      </c>
      <c r="I152" s="303">
        <f t="shared" si="193"/>
        <v>2109921.5450017699</v>
      </c>
      <c r="J152" s="357">
        <f t="shared" ref="J152" si="216">J11*J71</f>
        <v>253990.4925787455</v>
      </c>
      <c r="K152" s="357">
        <f t="shared" si="195"/>
        <v>398361.6986156138</v>
      </c>
      <c r="L152" s="303">
        <f t="shared" si="196"/>
        <v>144371.2060368683</v>
      </c>
      <c r="M152" s="357">
        <f t="shared" ref="M152" si="217">M11*M71</f>
        <v>126379.63101248557</v>
      </c>
      <c r="N152" s="357">
        <f t="shared" si="198"/>
        <v>198215.31101184696</v>
      </c>
      <c r="O152" s="303">
        <f t="shared" si="199"/>
        <v>71835.679999361397</v>
      </c>
      <c r="P152" s="357">
        <f t="shared" ref="P152" si="218">P11*P71</f>
        <v>8087.7284746239502</v>
      </c>
      <c r="Q152" s="358">
        <f t="shared" si="201"/>
        <v>12684.889187709205</v>
      </c>
      <c r="R152" s="304">
        <f t="shared" si="202"/>
        <v>4597.1607130852544</v>
      </c>
    </row>
    <row r="153" spans="1:19" x14ac:dyDescent="0.3">
      <c r="A153" s="1144"/>
      <c r="B153" s="1146"/>
      <c r="C153" s="346" t="s">
        <v>31</v>
      </c>
      <c r="D153" s="347">
        <f t="shared" si="188"/>
        <v>4100416.9554666658</v>
      </c>
      <c r="E153" s="348">
        <f t="shared" si="189"/>
        <v>6431142.5472177509</v>
      </c>
      <c r="F153" s="349">
        <f t="shared" si="190"/>
        <v>2330725.5917510851</v>
      </c>
      <c r="G153" s="356">
        <f t="shared" ref="G153" si="219">G12*G72</f>
        <v>3711959.1034008111</v>
      </c>
      <c r="H153" s="357">
        <f t="shared" si="192"/>
        <v>5821880.648402581</v>
      </c>
      <c r="I153" s="303">
        <f t="shared" si="193"/>
        <v>2109921.5450017699</v>
      </c>
      <c r="J153" s="357">
        <f t="shared" ref="J153" si="220">J12*J72</f>
        <v>253990.4925787455</v>
      </c>
      <c r="K153" s="357">
        <f t="shared" si="195"/>
        <v>398361.6986156138</v>
      </c>
      <c r="L153" s="303">
        <f t="shared" si="196"/>
        <v>144371.2060368683</v>
      </c>
      <c r="M153" s="357">
        <f t="shared" ref="M153" si="221">M12*M72</f>
        <v>126379.63101248557</v>
      </c>
      <c r="N153" s="357">
        <f t="shared" si="198"/>
        <v>198215.31101184696</v>
      </c>
      <c r="O153" s="303">
        <f t="shared" si="199"/>
        <v>71835.679999361397</v>
      </c>
      <c r="P153" s="357">
        <f t="shared" ref="P153" si="222">P12*P72</f>
        <v>8087.7284746239502</v>
      </c>
      <c r="Q153" s="358">
        <f t="shared" si="201"/>
        <v>12684.889187709205</v>
      </c>
      <c r="R153" s="304">
        <f t="shared" si="202"/>
        <v>4597.1607130852544</v>
      </c>
    </row>
    <row r="154" spans="1:19" x14ac:dyDescent="0.3">
      <c r="A154" s="1144"/>
      <c r="B154" s="1146"/>
      <c r="C154" s="346" t="s">
        <v>32</v>
      </c>
      <c r="D154" s="347">
        <f t="shared" si="188"/>
        <v>4100416.9554666658</v>
      </c>
      <c r="E154" s="348">
        <f t="shared" si="189"/>
        <v>6431142.5472177509</v>
      </c>
      <c r="F154" s="349">
        <f t="shared" si="190"/>
        <v>2330725.5917510851</v>
      </c>
      <c r="G154" s="356">
        <f t="shared" ref="G154" si="223">G13*G73</f>
        <v>3711959.1034008111</v>
      </c>
      <c r="H154" s="357">
        <f t="shared" si="192"/>
        <v>5821880.648402581</v>
      </c>
      <c r="I154" s="303">
        <f t="shared" si="193"/>
        <v>2109921.5450017699</v>
      </c>
      <c r="J154" s="357">
        <f t="shared" ref="J154" si="224">J13*J73</f>
        <v>253990.4925787455</v>
      </c>
      <c r="K154" s="357">
        <f t="shared" si="195"/>
        <v>398361.6986156138</v>
      </c>
      <c r="L154" s="303">
        <f t="shared" si="196"/>
        <v>144371.2060368683</v>
      </c>
      <c r="M154" s="357">
        <f t="shared" ref="M154" si="225">M13*M73</f>
        <v>126379.63101248557</v>
      </c>
      <c r="N154" s="357">
        <f t="shared" si="198"/>
        <v>198215.31101184696</v>
      </c>
      <c r="O154" s="303">
        <f t="shared" si="199"/>
        <v>71835.679999361397</v>
      </c>
      <c r="P154" s="357">
        <f t="shared" ref="P154" si="226">P13*P73</f>
        <v>8087.7284746239502</v>
      </c>
      <c r="Q154" s="358">
        <f t="shared" si="201"/>
        <v>12684.889187709205</v>
      </c>
      <c r="R154" s="304">
        <f t="shared" si="202"/>
        <v>4597.1607130852544</v>
      </c>
    </row>
    <row r="155" spans="1:19" x14ac:dyDescent="0.3">
      <c r="A155" s="1144"/>
      <c r="B155" s="1146"/>
      <c r="C155" s="346" t="s">
        <v>33</v>
      </c>
      <c r="D155" s="347">
        <f t="shared" si="188"/>
        <v>4100416.9554666658</v>
      </c>
      <c r="E155" s="348">
        <f t="shared" si="189"/>
        <v>6431142.5472177509</v>
      </c>
      <c r="F155" s="349">
        <f t="shared" si="190"/>
        <v>2330725.5917510851</v>
      </c>
      <c r="G155" s="356">
        <f t="shared" ref="G155" si="227">G14*G74</f>
        <v>3711959.1034008111</v>
      </c>
      <c r="H155" s="357">
        <f t="shared" si="192"/>
        <v>5821880.648402581</v>
      </c>
      <c r="I155" s="303">
        <f t="shared" si="193"/>
        <v>2109921.5450017699</v>
      </c>
      <c r="J155" s="357">
        <f t="shared" ref="J155" si="228">J14*J74</f>
        <v>253990.4925787455</v>
      </c>
      <c r="K155" s="357">
        <f t="shared" si="195"/>
        <v>398361.6986156138</v>
      </c>
      <c r="L155" s="303">
        <f t="shared" si="196"/>
        <v>144371.2060368683</v>
      </c>
      <c r="M155" s="357">
        <f t="shared" ref="M155" si="229">M14*M74</f>
        <v>126379.63101248557</v>
      </c>
      <c r="N155" s="357">
        <f t="shared" si="198"/>
        <v>198215.31101184696</v>
      </c>
      <c r="O155" s="303">
        <f t="shared" si="199"/>
        <v>71835.679999361397</v>
      </c>
      <c r="P155" s="357">
        <f t="shared" ref="P155" si="230">P14*P74</f>
        <v>8087.7284746239502</v>
      </c>
      <c r="Q155" s="358">
        <f t="shared" si="201"/>
        <v>12684.889187709205</v>
      </c>
      <c r="R155" s="304">
        <f t="shared" si="202"/>
        <v>4597.1607130852544</v>
      </c>
    </row>
    <row r="156" spans="1:19" ht="15" thickBot="1" x14ac:dyDescent="0.35">
      <c r="A156" s="1145"/>
      <c r="B156" s="1147"/>
      <c r="C156" s="359" t="s">
        <v>34</v>
      </c>
      <c r="D156" s="360">
        <f t="shared" si="188"/>
        <v>4100416.9554666658</v>
      </c>
      <c r="E156" s="361">
        <f t="shared" si="189"/>
        <v>6431142.5472177509</v>
      </c>
      <c r="F156" s="362">
        <f t="shared" si="190"/>
        <v>2330725.5917510851</v>
      </c>
      <c r="G156" s="363">
        <f t="shared" ref="G156" si="231">G15*G75</f>
        <v>3711959.1034008111</v>
      </c>
      <c r="H156" s="364">
        <f t="shared" si="192"/>
        <v>5821880.648402581</v>
      </c>
      <c r="I156" s="311">
        <f t="shared" si="193"/>
        <v>2109921.5450017699</v>
      </c>
      <c r="J156" s="364">
        <f t="shared" ref="J156" si="232">J15*J75</f>
        <v>253990.4925787455</v>
      </c>
      <c r="K156" s="364">
        <f t="shared" si="195"/>
        <v>398361.6986156138</v>
      </c>
      <c r="L156" s="311">
        <f t="shared" si="196"/>
        <v>144371.2060368683</v>
      </c>
      <c r="M156" s="364">
        <f t="shared" ref="M156" si="233">M15*M75</f>
        <v>126379.63101248557</v>
      </c>
      <c r="N156" s="364">
        <f t="shared" si="198"/>
        <v>198215.31101184696</v>
      </c>
      <c r="O156" s="311">
        <f t="shared" si="199"/>
        <v>71835.679999361397</v>
      </c>
      <c r="P156" s="364">
        <f t="shared" ref="P156" si="234">P15*P75</f>
        <v>8087.7284746239502</v>
      </c>
      <c r="Q156" s="365">
        <f t="shared" si="201"/>
        <v>12684.889187709205</v>
      </c>
      <c r="R156" s="312">
        <f t="shared" si="202"/>
        <v>4597.1607130852544</v>
      </c>
    </row>
    <row r="157" spans="1:19" x14ac:dyDescent="0.3">
      <c r="A157" s="1144" t="s">
        <v>39</v>
      </c>
      <c r="B157" s="1146" t="s">
        <v>13</v>
      </c>
      <c r="C157" s="346" t="s">
        <v>25</v>
      </c>
      <c r="D157" s="347">
        <f t="shared" si="168"/>
        <v>1387880.8799999997</v>
      </c>
      <c r="E157" s="348">
        <f t="shared" si="169"/>
        <v>1387880.8799999997</v>
      </c>
      <c r="F157" s="349">
        <f t="shared" si="179"/>
        <v>0</v>
      </c>
      <c r="G157" s="366">
        <f t="shared" ref="G157:G166" si="235">G76</f>
        <v>1256398.3426328432</v>
      </c>
      <c r="H157" s="367">
        <f t="shared" ref="H157:H166" si="236">H76*(1+$S$157)</f>
        <v>1256398.3426328432</v>
      </c>
      <c r="I157" s="295">
        <f>H157-G157</f>
        <v>0</v>
      </c>
      <c r="J157" s="367">
        <f t="shared" ref="J157:J166" si="237">J76</f>
        <v>85968.951982275656</v>
      </c>
      <c r="K157" s="367">
        <f t="shared" ref="K157:K166" si="238">K76*(1+$S$157)</f>
        <v>85968.951982275656</v>
      </c>
      <c r="L157" s="295">
        <f>K157-J157</f>
        <v>0</v>
      </c>
      <c r="M157" s="367">
        <f t="shared" ref="M157:M166" si="239">M76</f>
        <v>42776.106773688232</v>
      </c>
      <c r="N157" s="367">
        <f t="shared" ref="N157:N166" si="240">N76*(1+$S$157)</f>
        <v>42776.106773688232</v>
      </c>
      <c r="O157" s="295">
        <f>N157-M157</f>
        <v>0</v>
      </c>
      <c r="P157" s="367">
        <f t="shared" ref="P157:P166" si="241">P76</f>
        <v>2737.4786111927624</v>
      </c>
      <c r="Q157" s="368">
        <f t="shared" ref="Q157:Q166" si="242">Q76*(1+$S$157)</f>
        <v>2737.4786111927624</v>
      </c>
      <c r="R157" s="369">
        <f>Q157-P157</f>
        <v>0</v>
      </c>
      <c r="S157" s="297">
        <f>'Analyza citlivosti - AgendovéIS'!H7</f>
        <v>0</v>
      </c>
    </row>
    <row r="158" spans="1:19" x14ac:dyDescent="0.3">
      <c r="A158" s="1144"/>
      <c r="B158" s="1146"/>
      <c r="C158" s="346" t="s">
        <v>26</v>
      </c>
      <c r="D158" s="347">
        <f t="shared" si="168"/>
        <v>1387880.8799999997</v>
      </c>
      <c r="E158" s="348">
        <f t="shared" si="169"/>
        <v>1387880.8799999997</v>
      </c>
      <c r="F158" s="349">
        <f t="shared" si="179"/>
        <v>0</v>
      </c>
      <c r="G158" s="356">
        <f t="shared" si="235"/>
        <v>1256398.3426328432</v>
      </c>
      <c r="H158" s="357">
        <f t="shared" si="236"/>
        <v>1256398.3426328432</v>
      </c>
      <c r="I158" s="303">
        <f t="shared" ref="I158:I166" si="243">H158-G158</f>
        <v>0</v>
      </c>
      <c r="J158" s="357">
        <f t="shared" si="237"/>
        <v>85968.951982275656</v>
      </c>
      <c r="K158" s="357">
        <f t="shared" si="238"/>
        <v>85968.951982275656</v>
      </c>
      <c r="L158" s="303">
        <f t="shared" ref="L158:L166" si="244">K158-J158</f>
        <v>0</v>
      </c>
      <c r="M158" s="357">
        <f t="shared" si="239"/>
        <v>42776.106773688232</v>
      </c>
      <c r="N158" s="357">
        <f t="shared" si="240"/>
        <v>42776.106773688232</v>
      </c>
      <c r="O158" s="303">
        <f t="shared" ref="O158:O166" si="245">N158-M158</f>
        <v>0</v>
      </c>
      <c r="P158" s="357">
        <f t="shared" si="241"/>
        <v>2737.4786111927624</v>
      </c>
      <c r="Q158" s="358">
        <f t="shared" si="242"/>
        <v>2737.4786111927624</v>
      </c>
      <c r="R158" s="304">
        <f t="shared" ref="R158:R166" si="246">Q158-P158</f>
        <v>0</v>
      </c>
    </row>
    <row r="159" spans="1:19" x14ac:dyDescent="0.3">
      <c r="A159" s="1144"/>
      <c r="B159" s="1146"/>
      <c r="C159" s="346" t="s">
        <v>27</v>
      </c>
      <c r="D159" s="347">
        <f t="shared" si="168"/>
        <v>1387880.8799999997</v>
      </c>
      <c r="E159" s="348">
        <f t="shared" si="169"/>
        <v>2572457.0188871003</v>
      </c>
      <c r="F159" s="349">
        <f t="shared" si="179"/>
        <v>1184576.1388871009</v>
      </c>
      <c r="G159" s="356">
        <f t="shared" si="235"/>
        <v>1256398.3426328432</v>
      </c>
      <c r="H159" s="357">
        <f t="shared" si="236"/>
        <v>2328752.2593610324</v>
      </c>
      <c r="I159" s="303">
        <f t="shared" si="243"/>
        <v>1072353.9167281892</v>
      </c>
      <c r="J159" s="357">
        <f t="shared" si="237"/>
        <v>85968.951982275656</v>
      </c>
      <c r="K159" s="357">
        <f t="shared" si="238"/>
        <v>159344.67944624551</v>
      </c>
      <c r="L159" s="303">
        <f t="shared" si="244"/>
        <v>73375.727463969859</v>
      </c>
      <c r="M159" s="357">
        <f t="shared" si="239"/>
        <v>42776.106773688232</v>
      </c>
      <c r="N159" s="357">
        <f t="shared" si="240"/>
        <v>79286.124404738788</v>
      </c>
      <c r="O159" s="303">
        <f t="shared" si="245"/>
        <v>36510.017631050556</v>
      </c>
      <c r="P159" s="357">
        <f t="shared" si="241"/>
        <v>2737.4786111927624</v>
      </c>
      <c r="Q159" s="358">
        <f t="shared" si="242"/>
        <v>5073.9556750836819</v>
      </c>
      <c r="R159" s="304">
        <f t="shared" si="246"/>
        <v>2336.4770638909195</v>
      </c>
    </row>
    <row r="160" spans="1:19" x14ac:dyDescent="0.3">
      <c r="A160" s="1144"/>
      <c r="B160" s="1146"/>
      <c r="C160" s="346" t="s">
        <v>28</v>
      </c>
      <c r="D160" s="347">
        <f t="shared" si="168"/>
        <v>1387880.8799999997</v>
      </c>
      <c r="E160" s="348">
        <f t="shared" si="169"/>
        <v>2572457.0188871003</v>
      </c>
      <c r="F160" s="349">
        <f t="shared" si="179"/>
        <v>1184576.1388871009</v>
      </c>
      <c r="G160" s="356">
        <f t="shared" si="235"/>
        <v>1256398.3426328432</v>
      </c>
      <c r="H160" s="357">
        <f t="shared" si="236"/>
        <v>2328752.2593610324</v>
      </c>
      <c r="I160" s="303">
        <f t="shared" si="243"/>
        <v>1072353.9167281892</v>
      </c>
      <c r="J160" s="357">
        <f t="shared" si="237"/>
        <v>85968.951982275656</v>
      </c>
      <c r="K160" s="357">
        <f t="shared" si="238"/>
        <v>159344.67944624551</v>
      </c>
      <c r="L160" s="303">
        <f t="shared" si="244"/>
        <v>73375.727463969859</v>
      </c>
      <c r="M160" s="357">
        <f t="shared" si="239"/>
        <v>42776.106773688232</v>
      </c>
      <c r="N160" s="357">
        <f t="shared" si="240"/>
        <v>79286.124404738788</v>
      </c>
      <c r="O160" s="303">
        <f t="shared" si="245"/>
        <v>36510.017631050556</v>
      </c>
      <c r="P160" s="357">
        <f t="shared" si="241"/>
        <v>2737.4786111927624</v>
      </c>
      <c r="Q160" s="358">
        <f t="shared" si="242"/>
        <v>5073.9556750836819</v>
      </c>
      <c r="R160" s="304">
        <f t="shared" si="246"/>
        <v>2336.4770638909195</v>
      </c>
    </row>
    <row r="161" spans="1:18" x14ac:dyDescent="0.3">
      <c r="A161" s="1144"/>
      <c r="B161" s="1146"/>
      <c r="C161" s="346" t="s">
        <v>29</v>
      </c>
      <c r="D161" s="347">
        <f t="shared" si="168"/>
        <v>1387880.8799999997</v>
      </c>
      <c r="E161" s="348">
        <f t="shared" si="169"/>
        <v>2572457.0188871003</v>
      </c>
      <c r="F161" s="349">
        <f t="shared" si="179"/>
        <v>1184576.1388871009</v>
      </c>
      <c r="G161" s="356">
        <f t="shared" si="235"/>
        <v>1256398.3426328432</v>
      </c>
      <c r="H161" s="357">
        <f t="shared" si="236"/>
        <v>2328752.2593610324</v>
      </c>
      <c r="I161" s="303">
        <f t="shared" si="243"/>
        <v>1072353.9167281892</v>
      </c>
      <c r="J161" s="357">
        <f t="shared" si="237"/>
        <v>85968.951982275656</v>
      </c>
      <c r="K161" s="357">
        <f t="shared" si="238"/>
        <v>159344.67944624551</v>
      </c>
      <c r="L161" s="303">
        <f t="shared" si="244"/>
        <v>73375.727463969859</v>
      </c>
      <c r="M161" s="357">
        <f t="shared" si="239"/>
        <v>42776.106773688232</v>
      </c>
      <c r="N161" s="357">
        <f t="shared" si="240"/>
        <v>79286.124404738788</v>
      </c>
      <c r="O161" s="303">
        <f t="shared" si="245"/>
        <v>36510.017631050556</v>
      </c>
      <c r="P161" s="357">
        <f t="shared" si="241"/>
        <v>2737.4786111927624</v>
      </c>
      <c r="Q161" s="358">
        <f t="shared" si="242"/>
        <v>5073.9556750836819</v>
      </c>
      <c r="R161" s="304">
        <f t="shared" si="246"/>
        <v>2336.4770638909195</v>
      </c>
    </row>
    <row r="162" spans="1:18" x14ac:dyDescent="0.3">
      <c r="A162" s="1144"/>
      <c r="B162" s="1146"/>
      <c r="C162" s="346" t="s">
        <v>30</v>
      </c>
      <c r="D162" s="347">
        <f t="shared" si="168"/>
        <v>1387880.8799999997</v>
      </c>
      <c r="E162" s="348">
        <f t="shared" si="169"/>
        <v>2572457.0188871003</v>
      </c>
      <c r="F162" s="349">
        <f t="shared" si="179"/>
        <v>1184576.1388871009</v>
      </c>
      <c r="G162" s="356">
        <f t="shared" si="235"/>
        <v>1256398.3426328432</v>
      </c>
      <c r="H162" s="357">
        <f t="shared" si="236"/>
        <v>2328752.2593610324</v>
      </c>
      <c r="I162" s="303">
        <f t="shared" si="243"/>
        <v>1072353.9167281892</v>
      </c>
      <c r="J162" s="357">
        <f t="shared" si="237"/>
        <v>85968.951982275656</v>
      </c>
      <c r="K162" s="357">
        <f t="shared" si="238"/>
        <v>159344.67944624551</v>
      </c>
      <c r="L162" s="303">
        <f t="shared" si="244"/>
        <v>73375.727463969859</v>
      </c>
      <c r="M162" s="357">
        <f t="shared" si="239"/>
        <v>42776.106773688232</v>
      </c>
      <c r="N162" s="357">
        <f t="shared" si="240"/>
        <v>79286.124404738788</v>
      </c>
      <c r="O162" s="303">
        <f t="shared" si="245"/>
        <v>36510.017631050556</v>
      </c>
      <c r="P162" s="357">
        <f t="shared" si="241"/>
        <v>2737.4786111927624</v>
      </c>
      <c r="Q162" s="358">
        <f t="shared" si="242"/>
        <v>5073.9556750836819</v>
      </c>
      <c r="R162" s="304">
        <f t="shared" si="246"/>
        <v>2336.4770638909195</v>
      </c>
    </row>
    <row r="163" spans="1:18" x14ac:dyDescent="0.3">
      <c r="A163" s="1144"/>
      <c r="B163" s="1146"/>
      <c r="C163" s="346" t="s">
        <v>31</v>
      </c>
      <c r="D163" s="347">
        <f t="shared" si="168"/>
        <v>1387880.8799999997</v>
      </c>
      <c r="E163" s="348">
        <f t="shared" si="169"/>
        <v>2572457.0188871003</v>
      </c>
      <c r="F163" s="349">
        <f t="shared" si="179"/>
        <v>1184576.1388871009</v>
      </c>
      <c r="G163" s="356">
        <f t="shared" si="235"/>
        <v>1256398.3426328432</v>
      </c>
      <c r="H163" s="357">
        <f t="shared" si="236"/>
        <v>2328752.2593610324</v>
      </c>
      <c r="I163" s="303">
        <f t="shared" si="243"/>
        <v>1072353.9167281892</v>
      </c>
      <c r="J163" s="357">
        <f t="shared" si="237"/>
        <v>85968.951982275656</v>
      </c>
      <c r="K163" s="357">
        <f t="shared" si="238"/>
        <v>159344.67944624551</v>
      </c>
      <c r="L163" s="303">
        <f t="shared" si="244"/>
        <v>73375.727463969859</v>
      </c>
      <c r="M163" s="357">
        <f t="shared" si="239"/>
        <v>42776.106773688232</v>
      </c>
      <c r="N163" s="357">
        <f t="shared" si="240"/>
        <v>79286.124404738788</v>
      </c>
      <c r="O163" s="303">
        <f t="shared" si="245"/>
        <v>36510.017631050556</v>
      </c>
      <c r="P163" s="357">
        <f t="shared" si="241"/>
        <v>2737.4786111927624</v>
      </c>
      <c r="Q163" s="358">
        <f t="shared" si="242"/>
        <v>5073.9556750836819</v>
      </c>
      <c r="R163" s="304">
        <f t="shared" si="246"/>
        <v>2336.4770638909195</v>
      </c>
    </row>
    <row r="164" spans="1:18" x14ac:dyDescent="0.3">
      <c r="A164" s="1144"/>
      <c r="B164" s="1146"/>
      <c r="C164" s="346" t="s">
        <v>32</v>
      </c>
      <c r="D164" s="347">
        <f t="shared" si="168"/>
        <v>1387880.8799999997</v>
      </c>
      <c r="E164" s="348">
        <f t="shared" si="169"/>
        <v>2572457.0188871003</v>
      </c>
      <c r="F164" s="349">
        <f t="shared" si="179"/>
        <v>1184576.1388871009</v>
      </c>
      <c r="G164" s="356">
        <f t="shared" si="235"/>
        <v>1256398.3426328432</v>
      </c>
      <c r="H164" s="357">
        <f t="shared" si="236"/>
        <v>2328752.2593610324</v>
      </c>
      <c r="I164" s="303">
        <f t="shared" si="243"/>
        <v>1072353.9167281892</v>
      </c>
      <c r="J164" s="357">
        <f t="shared" si="237"/>
        <v>85968.951982275656</v>
      </c>
      <c r="K164" s="357">
        <f t="shared" si="238"/>
        <v>159344.67944624551</v>
      </c>
      <c r="L164" s="303">
        <f t="shared" si="244"/>
        <v>73375.727463969859</v>
      </c>
      <c r="M164" s="357">
        <f t="shared" si="239"/>
        <v>42776.106773688232</v>
      </c>
      <c r="N164" s="357">
        <f t="shared" si="240"/>
        <v>79286.124404738788</v>
      </c>
      <c r="O164" s="303">
        <f t="shared" si="245"/>
        <v>36510.017631050556</v>
      </c>
      <c r="P164" s="357">
        <f t="shared" si="241"/>
        <v>2737.4786111927624</v>
      </c>
      <c r="Q164" s="358">
        <f t="shared" si="242"/>
        <v>5073.9556750836819</v>
      </c>
      <c r="R164" s="304">
        <f t="shared" si="246"/>
        <v>2336.4770638909195</v>
      </c>
    </row>
    <row r="165" spans="1:18" x14ac:dyDescent="0.3">
      <c r="A165" s="1144"/>
      <c r="B165" s="1146"/>
      <c r="C165" s="346" t="s">
        <v>33</v>
      </c>
      <c r="D165" s="347">
        <f t="shared" si="168"/>
        <v>1387880.8799999997</v>
      </c>
      <c r="E165" s="348">
        <f t="shared" si="169"/>
        <v>2572457.0188871003</v>
      </c>
      <c r="F165" s="349">
        <f t="shared" si="179"/>
        <v>1184576.1388871009</v>
      </c>
      <c r="G165" s="356">
        <f t="shared" si="235"/>
        <v>1256398.3426328432</v>
      </c>
      <c r="H165" s="357">
        <f t="shared" si="236"/>
        <v>2328752.2593610324</v>
      </c>
      <c r="I165" s="303">
        <f t="shared" si="243"/>
        <v>1072353.9167281892</v>
      </c>
      <c r="J165" s="357">
        <f t="shared" si="237"/>
        <v>85968.951982275656</v>
      </c>
      <c r="K165" s="357">
        <f t="shared" si="238"/>
        <v>159344.67944624551</v>
      </c>
      <c r="L165" s="303">
        <f t="shared" si="244"/>
        <v>73375.727463969859</v>
      </c>
      <c r="M165" s="357">
        <f t="shared" si="239"/>
        <v>42776.106773688232</v>
      </c>
      <c r="N165" s="357">
        <f t="shared" si="240"/>
        <v>79286.124404738788</v>
      </c>
      <c r="O165" s="303">
        <f t="shared" si="245"/>
        <v>36510.017631050556</v>
      </c>
      <c r="P165" s="357">
        <f t="shared" si="241"/>
        <v>2737.4786111927624</v>
      </c>
      <c r="Q165" s="358">
        <f t="shared" si="242"/>
        <v>5073.9556750836819</v>
      </c>
      <c r="R165" s="304">
        <f t="shared" si="246"/>
        <v>2336.4770638909195</v>
      </c>
    </row>
    <row r="166" spans="1:18" ht="15" thickBot="1" x14ac:dyDescent="0.35">
      <c r="A166" s="1145"/>
      <c r="B166" s="1147"/>
      <c r="C166" s="359" t="s">
        <v>34</v>
      </c>
      <c r="D166" s="360">
        <f t="shared" si="168"/>
        <v>1387880.8799999997</v>
      </c>
      <c r="E166" s="361">
        <f t="shared" si="169"/>
        <v>2572457.0188871003</v>
      </c>
      <c r="F166" s="362">
        <f t="shared" si="179"/>
        <v>1184576.1388871009</v>
      </c>
      <c r="G166" s="363">
        <f t="shared" si="235"/>
        <v>1256398.3426328432</v>
      </c>
      <c r="H166" s="364">
        <f t="shared" si="236"/>
        <v>2328752.2593610324</v>
      </c>
      <c r="I166" s="311">
        <f t="shared" si="243"/>
        <v>1072353.9167281892</v>
      </c>
      <c r="J166" s="364">
        <f t="shared" si="237"/>
        <v>85968.951982275656</v>
      </c>
      <c r="K166" s="364">
        <f t="shared" si="238"/>
        <v>159344.67944624551</v>
      </c>
      <c r="L166" s="311">
        <f t="shared" si="244"/>
        <v>73375.727463969859</v>
      </c>
      <c r="M166" s="364">
        <f t="shared" si="239"/>
        <v>42776.106773688232</v>
      </c>
      <c r="N166" s="364">
        <f t="shared" si="240"/>
        <v>79286.124404738788</v>
      </c>
      <c r="O166" s="311">
        <f t="shared" si="245"/>
        <v>36510.017631050556</v>
      </c>
      <c r="P166" s="364">
        <f t="shared" si="241"/>
        <v>2737.4786111927624</v>
      </c>
      <c r="Q166" s="365">
        <f t="shared" si="242"/>
        <v>5073.9556750836819</v>
      </c>
      <c r="R166" s="312">
        <f t="shared" si="246"/>
        <v>2336.4770638909195</v>
      </c>
    </row>
  </sheetData>
  <sheetProtection insertColumns="0" deleteColumns="0"/>
  <mergeCells count="49">
    <mergeCell ref="A147:A156"/>
    <mergeCell ref="B147:B156"/>
    <mergeCell ref="M2:O2"/>
    <mergeCell ref="P2:R2"/>
    <mergeCell ref="M3:O3"/>
    <mergeCell ref="P3:R3"/>
    <mergeCell ref="G4:I4"/>
    <mergeCell ref="J4:L4"/>
    <mergeCell ref="M4:O4"/>
    <mergeCell ref="P4:R4"/>
    <mergeCell ref="A6:A15"/>
    <mergeCell ref="B6:B15"/>
    <mergeCell ref="A26:A35"/>
    <mergeCell ref="B26:B35"/>
    <mergeCell ref="A36:A45"/>
    <mergeCell ref="B36:B45"/>
    <mergeCell ref="M1:O1"/>
    <mergeCell ref="P1:R1"/>
    <mergeCell ref="A87:A96"/>
    <mergeCell ref="B87:B96"/>
    <mergeCell ref="A157:A166"/>
    <mergeCell ref="B157:B166"/>
    <mergeCell ref="A127:A136"/>
    <mergeCell ref="B127:B136"/>
    <mergeCell ref="A107:A116"/>
    <mergeCell ref="B107:B116"/>
    <mergeCell ref="A137:A146"/>
    <mergeCell ref="B137:B146"/>
    <mergeCell ref="A117:A126"/>
    <mergeCell ref="B117:B126"/>
    <mergeCell ref="A97:A106"/>
    <mergeCell ref="B97:B106"/>
    <mergeCell ref="J1:L1"/>
    <mergeCell ref="D1:F1"/>
    <mergeCell ref="G1:I1"/>
    <mergeCell ref="G3:I3"/>
    <mergeCell ref="J3:L3"/>
    <mergeCell ref="G2:I2"/>
    <mergeCell ref="J2:L2"/>
    <mergeCell ref="A16:A25"/>
    <mergeCell ref="B16:B25"/>
    <mergeCell ref="A46:A55"/>
    <mergeCell ref="B46:B55"/>
    <mergeCell ref="A76:A85"/>
    <mergeCell ref="B76:B85"/>
    <mergeCell ref="A56:A65"/>
    <mergeCell ref="B56:B65"/>
    <mergeCell ref="A66:A75"/>
    <mergeCell ref="B66:B75"/>
  </mergeCells>
  <pageMargins left="0.7" right="0.7" top="0.75" bottom="0.75" header="0.3" footer="0.3"/>
  <pageSetup paperSize="9" scale="33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M44"/>
  <sheetViews>
    <sheetView showGridLines="0" topLeftCell="A13" zoomScale="70" zoomScaleNormal="70" workbookViewId="0">
      <selection activeCell="D12" sqref="D12"/>
    </sheetView>
  </sheetViews>
  <sheetFormatPr defaultColWidth="8.88671875" defaultRowHeight="14.4" outlineLevelCol="1" x14ac:dyDescent="0.3"/>
  <cols>
    <col min="2" max="2" width="54.109375" customWidth="1"/>
    <col min="3" max="3" width="18.88671875" customWidth="1"/>
    <col min="4" max="13" width="16" customWidth="1" outlineLevel="1"/>
  </cols>
  <sheetData>
    <row r="1" spans="1:13" ht="21" x14ac:dyDescent="0.4">
      <c r="A1" s="98" t="s">
        <v>98</v>
      </c>
      <c r="B1" s="99"/>
      <c r="E1" s="88"/>
      <c r="F1" s="88"/>
      <c r="G1" s="88"/>
      <c r="H1" s="88"/>
      <c r="I1" s="88"/>
      <c r="J1" s="88"/>
      <c r="K1" s="88"/>
      <c r="L1" s="88"/>
      <c r="M1" s="84"/>
    </row>
    <row r="2" spans="1:13" ht="15.6" x14ac:dyDescent="0.3">
      <c r="A2" s="100"/>
      <c r="B2" s="86"/>
      <c r="D2" s="86"/>
      <c r="E2" s="86"/>
      <c r="F2" s="86"/>
      <c r="G2" s="86"/>
      <c r="H2" s="86"/>
      <c r="I2" s="86"/>
      <c r="J2" s="86"/>
      <c r="K2" s="86"/>
      <c r="L2" s="86"/>
      <c r="M2" s="80"/>
    </row>
    <row r="3" spans="1:13" ht="15.6" x14ac:dyDescent="0.3">
      <c r="A3" s="172" t="s">
        <v>643</v>
      </c>
      <c r="B3" s="86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x14ac:dyDescent="0.3">
      <c r="D4" s="81"/>
      <c r="E4" s="81"/>
      <c r="F4" s="81"/>
      <c r="G4" s="81"/>
      <c r="H4" s="81"/>
      <c r="I4" s="81"/>
      <c r="J4" s="81"/>
      <c r="K4" s="81"/>
      <c r="L4" s="81"/>
      <c r="M4" s="81"/>
    </row>
    <row r="5" spans="1:13" ht="15" thickBot="1" x14ac:dyDescent="0.35">
      <c r="B5" s="81"/>
      <c r="C5" s="85"/>
      <c r="D5" s="1150" t="s">
        <v>99</v>
      </c>
      <c r="E5" s="1150"/>
      <c r="F5" s="1150"/>
      <c r="G5" s="1150"/>
      <c r="H5" s="1150"/>
      <c r="I5" s="1150"/>
      <c r="J5" s="1150"/>
      <c r="K5" s="1150"/>
      <c r="L5" s="1150"/>
      <c r="M5" s="1150"/>
    </row>
    <row r="6" spans="1:13" x14ac:dyDescent="0.3">
      <c r="A6" s="141"/>
      <c r="B6" s="167" t="s">
        <v>156</v>
      </c>
      <c r="C6" s="92" t="s">
        <v>103</v>
      </c>
      <c r="D6" s="105" t="s">
        <v>25</v>
      </c>
      <c r="E6" s="106" t="s">
        <v>26</v>
      </c>
      <c r="F6" s="106" t="s">
        <v>27</v>
      </c>
      <c r="G6" s="106" t="s">
        <v>28</v>
      </c>
      <c r="H6" s="106" t="s">
        <v>29</v>
      </c>
      <c r="I6" s="106" t="s">
        <v>30</v>
      </c>
      <c r="J6" s="106" t="s">
        <v>31</v>
      </c>
      <c r="K6" s="106" t="s">
        <v>32</v>
      </c>
      <c r="L6" s="106" t="s">
        <v>33</v>
      </c>
      <c r="M6" s="107" t="s">
        <v>34</v>
      </c>
    </row>
    <row r="7" spans="1:13" x14ac:dyDescent="0.3">
      <c r="A7" s="170"/>
      <c r="B7" s="168" t="s">
        <v>106</v>
      </c>
      <c r="C7" s="93">
        <f t="shared" ref="C7:C14" si="0">SUM(D7:M7)</f>
        <v>0</v>
      </c>
      <c r="D7" s="108">
        <f>'TCO TO BE- SW'!$F5+'TCO TO BE- SW'!$F15</f>
        <v>0</v>
      </c>
      <c r="E7" s="90">
        <f>'TCO TO BE- SW'!$F6+'TCO TO BE- SW'!$F16</f>
        <v>0</v>
      </c>
      <c r="F7" s="90">
        <f>'TCO TO BE- SW'!$F7+'TCO TO BE- SW'!$F17</f>
        <v>0</v>
      </c>
      <c r="G7" s="90">
        <f>'TCO TO BE- SW'!$F8+'TCO TO BE- SW'!$F18</f>
        <v>0</v>
      </c>
      <c r="H7" s="90">
        <f>'TCO TO BE- SW'!$F9+'TCO TO BE- SW'!$F19</f>
        <v>0</v>
      </c>
      <c r="I7" s="90">
        <f>'TCO TO BE- SW'!$F10+'TCO TO BE- SW'!$F20</f>
        <v>0</v>
      </c>
      <c r="J7" s="90">
        <f>'TCO TO BE- SW'!$F11+'TCO TO BE- SW'!$F21</f>
        <v>0</v>
      </c>
      <c r="K7" s="90">
        <f>'TCO TO BE- SW'!$F12+'TCO TO BE- SW'!$F22</f>
        <v>0</v>
      </c>
      <c r="L7" s="90">
        <f>'TCO TO BE- SW'!$F13+'TCO TO BE- SW'!$F23</f>
        <v>0</v>
      </c>
      <c r="M7" s="109">
        <f>'TCO TO BE- SW'!$F14+'TCO TO BE- SW'!$F24</f>
        <v>0</v>
      </c>
    </row>
    <row r="8" spans="1:13" x14ac:dyDescent="0.3">
      <c r="A8" s="170"/>
      <c r="B8" s="168" t="s">
        <v>107</v>
      </c>
      <c r="C8" s="93">
        <f t="shared" si="0"/>
        <v>0</v>
      </c>
      <c r="D8" s="108">
        <f>'TCO TO BE- SW'!$F58+'TCO TO BE- SW'!$F68</f>
        <v>0</v>
      </c>
      <c r="E8" s="90">
        <f>'TCO TO BE- SW'!$F59+'TCO TO BE- SW'!$F69</f>
        <v>0</v>
      </c>
      <c r="F8" s="90">
        <f>'TCO TO BE- SW'!$F60+'TCO TO BE- SW'!$F70</f>
        <v>0</v>
      </c>
      <c r="G8" s="90">
        <f>'TCO TO BE- SW'!$F61+'TCO TO BE- SW'!$F71</f>
        <v>0</v>
      </c>
      <c r="H8" s="90">
        <f>'TCO TO BE- SW'!$F62+'TCO TO BE- SW'!$F72</f>
        <v>0</v>
      </c>
      <c r="I8" s="90">
        <f>'TCO TO BE- SW'!$F63+'TCO TO BE- SW'!$F73</f>
        <v>0</v>
      </c>
      <c r="J8" s="90">
        <f>'TCO TO BE- SW'!$F64+'TCO TO BE- SW'!$F74</f>
        <v>0</v>
      </c>
      <c r="K8" s="90">
        <f>'TCO TO BE- SW'!$F65+'TCO TO BE- SW'!$F75</f>
        <v>0</v>
      </c>
      <c r="L8" s="90">
        <f>'TCO TO BE- SW'!$F66+'TCO TO BE- SW'!$F76</f>
        <v>0</v>
      </c>
      <c r="M8" s="109">
        <f>'TCO TO BE- SW'!$F67+'TCO TO BE- SW'!$F77</f>
        <v>0</v>
      </c>
    </row>
    <row r="9" spans="1:13" x14ac:dyDescent="0.3">
      <c r="A9" s="170"/>
      <c r="B9" s="168" t="s">
        <v>108</v>
      </c>
      <c r="C9" s="93">
        <f t="shared" si="0"/>
        <v>7821887.2200000025</v>
      </c>
      <c r="D9" s="108">
        <f>'TCO TO BE- SW'!$F26+'TCO TO BE- SW'!$F36+'TCO TO BE- SW'!$F46</f>
        <v>2825267.7600000002</v>
      </c>
      <c r="E9" s="90">
        <f>'TCO TO BE- SW'!$F27+'TCO TO BE- SW'!$F37+'TCO TO BE- SW'!$F47</f>
        <v>4996619.4600000018</v>
      </c>
      <c r="F9" s="90">
        <f>'TCO TO BE- SW'!$F28+'TCO TO BE- SW'!$F38+'TCO TO BE- SW'!$F48</f>
        <v>0</v>
      </c>
      <c r="G9" s="90">
        <f>'TCO TO BE- SW'!$F29+'TCO TO BE- SW'!$F39+'TCO TO BE- SW'!$F49</f>
        <v>0</v>
      </c>
      <c r="H9" s="90">
        <f>'TCO TO BE- SW'!$F30+'TCO TO BE- SW'!$F40+'TCO TO BE- SW'!$F50</f>
        <v>0</v>
      </c>
      <c r="I9" s="90">
        <f>'TCO TO BE- SW'!$F31+'TCO TO BE- SW'!$F41+'TCO TO BE- SW'!$F51</f>
        <v>0</v>
      </c>
      <c r="J9" s="90">
        <f>'TCO TO BE- SW'!$F32+'TCO TO BE- SW'!$F42+'TCO TO BE- SW'!$F52</f>
        <v>0</v>
      </c>
      <c r="K9" s="90">
        <f>'TCO TO BE- SW'!$F33+'TCO TO BE- SW'!$F43+'TCO TO BE- SW'!$F53</f>
        <v>0</v>
      </c>
      <c r="L9" s="90">
        <f>'TCO TO BE- SW'!$F34+'TCO TO BE- SW'!$F44+'TCO TO BE- SW'!$F54</f>
        <v>0</v>
      </c>
      <c r="M9" s="109">
        <f>'TCO TO BE- SW'!$F35+'TCO TO BE- SW'!$F45+'TCO TO BE- SW'!$F55</f>
        <v>0</v>
      </c>
    </row>
    <row r="10" spans="1:13" x14ac:dyDescent="0.3">
      <c r="A10" s="170"/>
      <c r="B10" s="168" t="s">
        <v>109</v>
      </c>
      <c r="C10" s="93">
        <f t="shared" si="0"/>
        <v>4743732.4079999998</v>
      </c>
      <c r="D10" s="108">
        <f>'TCO TO BE- SW'!$F79+'TCO TO BE- SW'!$F89+'TCO TO BE- SW'!$F99+'TCO TO BE- SW'!$F109+'TCO TO BE- SW'!$F119</f>
        <v>161497.75199999998</v>
      </c>
      <c r="E10" s="90">
        <f>'TCO TO BE- SW'!$F80+'TCO TO BE- SW'!$F90+'TCO TO BE- SW'!$F100+'TCO TO BE- SW'!$F110+'TCO TO BE- SW'!$F120</f>
        <v>161497.75199999998</v>
      </c>
      <c r="F10" s="90">
        <f>'TCO TO BE- SW'!$F81+'TCO TO BE- SW'!$F91+'TCO TO BE- SW'!$F101+'TCO TO BE- SW'!$F111+'TCO TO BE- SW'!$F121</f>
        <v>552592.11300000013</v>
      </c>
      <c r="G10" s="90">
        <f>'TCO TO BE- SW'!$F82+'TCO TO BE- SW'!$F92+'TCO TO BE- SW'!$F102+'TCO TO BE- SW'!$F112+'TCO TO BE- SW'!$F122</f>
        <v>552592.11300000013</v>
      </c>
      <c r="H10" s="90">
        <f>'TCO TO BE- SW'!$F83+'TCO TO BE- SW'!$F93+'TCO TO BE- SW'!$F103+'TCO TO BE- SW'!$F113+'TCO TO BE- SW'!$F123</f>
        <v>552592.11300000013</v>
      </c>
      <c r="I10" s="90">
        <f>'TCO TO BE- SW'!$F84+'TCO TO BE- SW'!$F94+'TCO TO BE- SW'!$F104+'TCO TO BE- SW'!$F114+'TCO TO BE- SW'!$F124</f>
        <v>552592.11300000013</v>
      </c>
      <c r="J10" s="90">
        <f>'TCO TO BE- SW'!$F85+'TCO TO BE- SW'!$F95+'TCO TO BE- SW'!$F105+'TCO TO BE- SW'!$F115+'TCO TO BE- SW'!$F125</f>
        <v>552592.11300000013</v>
      </c>
      <c r="K10" s="90">
        <f>'TCO TO BE- SW'!$F86+'TCO TO BE- SW'!$F96+'TCO TO BE- SW'!$F106+'TCO TO BE- SW'!$F116+'TCO TO BE- SW'!$F126</f>
        <v>552592.11300000013</v>
      </c>
      <c r="L10" s="90">
        <f>'TCO TO BE- SW'!$F87+'TCO TO BE- SW'!$F97+'TCO TO BE- SW'!$F107+'TCO TO BE- SW'!$F117+'TCO TO BE- SW'!$F127</f>
        <v>552592.11300000013</v>
      </c>
      <c r="M10" s="109">
        <f>'TCO TO BE- SW'!$F88+'TCO TO BE- SW'!$F98+'TCO TO BE- SW'!$F108+'TCO TO BE- SW'!$F118+'TCO TO BE- SW'!$F128</f>
        <v>552592.11300000013</v>
      </c>
    </row>
    <row r="11" spans="1:13" x14ac:dyDescent="0.3">
      <c r="A11" s="170"/>
      <c r="B11" s="168" t="s">
        <v>295</v>
      </c>
      <c r="C11" s="93">
        <f t="shared" si="0"/>
        <v>0</v>
      </c>
      <c r="D11" s="108">
        <f>'TCO TO BE- SW'!F151+'TCO TO BE- SW'!F161</f>
        <v>0</v>
      </c>
      <c r="E11" s="90">
        <f>'TCO TO BE- SW'!F152+'TCO TO BE- SW'!F162</f>
        <v>0</v>
      </c>
      <c r="F11" s="90">
        <f>'TCO TO BE- SW'!F153+'TCO TO BE- SW'!F163</f>
        <v>0</v>
      </c>
      <c r="G11" s="90">
        <f>'TCO TO BE- SW'!F154+'TCO TO BE- SW'!F164</f>
        <v>0</v>
      </c>
      <c r="H11" s="90">
        <f>'TCO TO BE- SW'!F155+'TCO TO BE- SW'!F165</f>
        <v>0</v>
      </c>
      <c r="I11" s="90">
        <f>'TCO TO BE- SW'!F156+'TCO TO BE- SW'!F166</f>
        <v>0</v>
      </c>
      <c r="J11" s="90">
        <f>'TCO TO BE- SW'!F157+'TCO TO BE- SW'!F167</f>
        <v>0</v>
      </c>
      <c r="K11" s="90">
        <f>'TCO TO BE- SW'!F158+'TCO TO BE- SW'!F168</f>
        <v>0</v>
      </c>
      <c r="L11" s="90">
        <f>'TCO TO BE- SW'!F159+'TCO TO BE- SW'!F169</f>
        <v>0</v>
      </c>
      <c r="M11" s="109">
        <f>'TCO TO BE- SW'!F160+'TCO TO BE- SW'!F170</f>
        <v>0</v>
      </c>
    </row>
    <row r="12" spans="1:13" x14ac:dyDescent="0.3">
      <c r="A12" s="170"/>
      <c r="B12" s="168" t="s">
        <v>100</v>
      </c>
      <c r="C12" s="93">
        <f t="shared" si="0"/>
        <v>300144</v>
      </c>
      <c r="D12" s="108">
        <f>'TCO TO BE - HW'!$E4+'TCO TO BE - HW'!$E14+'TCO TO BE - HW'!$E24</f>
        <v>300144</v>
      </c>
      <c r="E12" s="90">
        <f>'TCO TO BE - HW'!$E5+'TCO TO BE - HW'!$E15+'TCO TO BE - HW'!$E25</f>
        <v>0</v>
      </c>
      <c r="F12" s="90">
        <f>'TCO TO BE - HW'!$E6+'TCO TO BE - HW'!$E16+'TCO TO BE - HW'!$E26</f>
        <v>0</v>
      </c>
      <c r="G12" s="90">
        <f>'TCO TO BE - HW'!$E7+'TCO TO BE - HW'!$E17+'TCO TO BE - HW'!$E27</f>
        <v>0</v>
      </c>
      <c r="H12" s="90">
        <f>'TCO TO BE - HW'!$E8+'TCO TO BE - HW'!$E18+'TCO TO BE - HW'!$E28</f>
        <v>0</v>
      </c>
      <c r="I12" s="90">
        <f>'TCO TO BE - HW'!$E9+'TCO TO BE - HW'!$E19+'TCO TO BE - HW'!$E29</f>
        <v>0</v>
      </c>
      <c r="J12" s="90">
        <f>'TCO TO BE - HW'!$E10+'TCO TO BE - HW'!$E20+'TCO TO BE - HW'!$E30</f>
        <v>0</v>
      </c>
      <c r="K12" s="90">
        <f>'TCO TO BE - HW'!$E11+'TCO TO BE - HW'!$E21+'TCO TO BE - HW'!$E31</f>
        <v>0</v>
      </c>
      <c r="L12" s="90">
        <f>'TCO TO BE - HW'!$E12+'TCO TO BE - HW'!$E22+'TCO TO BE - HW'!$E32</f>
        <v>0</v>
      </c>
      <c r="M12" s="109">
        <f>'TCO TO BE - HW'!$E13+'TCO TO BE - HW'!$E23+'TCO TO BE - HW'!$E33</f>
        <v>0</v>
      </c>
    </row>
    <row r="13" spans="1:13" x14ac:dyDescent="0.3">
      <c r="A13" s="170"/>
      <c r="B13" s="168" t="s">
        <v>101</v>
      </c>
      <c r="C13" s="93">
        <f t="shared" si="0"/>
        <v>171600</v>
      </c>
      <c r="D13" s="108">
        <f>'TCO TO BE - HW'!$E35+'TCO TO BE - HW'!$E45+'TCO TO BE - HW'!$E55+'TCO TO BE - HW'!$E65+'TCO TO BE - HW'!$E75</f>
        <v>0</v>
      </c>
      <c r="E13" s="90">
        <f>'TCO TO BE - HW'!$E36+'TCO TO BE - HW'!$E46+'TCO TO BE - HW'!$E56+'TCO TO BE - HW'!$E66+'TCO TO BE - HW'!$E76</f>
        <v>0</v>
      </c>
      <c r="F13" s="90">
        <f>'TCO TO BE - HW'!$E37+'TCO TO BE - HW'!$E47+'TCO TO BE - HW'!$E57+'TCO TO BE - HW'!$E67+'TCO TO BE - HW'!$E77</f>
        <v>0</v>
      </c>
      <c r="G13" s="90">
        <f>'TCO TO BE - HW'!$E38+'TCO TO BE - HW'!$E48+'TCO TO BE - HW'!$E58+'TCO TO BE - HW'!$E68+'TCO TO BE - HW'!$E78</f>
        <v>0</v>
      </c>
      <c r="H13" s="90">
        <f>'TCO TO BE - HW'!$E39+'TCO TO BE - HW'!$E49+'TCO TO BE - HW'!$E59+'TCO TO BE - HW'!$E69+'TCO TO BE - HW'!$E79</f>
        <v>0</v>
      </c>
      <c r="I13" s="90">
        <f>'TCO TO BE - HW'!$E40+'TCO TO BE - HW'!$E50+'TCO TO BE - HW'!$E60+'TCO TO BE - HW'!$E70+'TCO TO BE - HW'!$E80</f>
        <v>0</v>
      </c>
      <c r="J13" s="90">
        <f>'TCO TO BE - HW'!$E41+'TCO TO BE - HW'!$E51+'TCO TO BE - HW'!$E61+'TCO TO BE - HW'!$E71+'TCO TO BE - HW'!$E81</f>
        <v>171600</v>
      </c>
      <c r="K13" s="90">
        <f>'TCO TO BE - HW'!$E42+'TCO TO BE - HW'!$E52+'TCO TO BE - HW'!$E62+'TCO TO BE - HW'!$E72+'TCO TO BE - HW'!$E82</f>
        <v>0</v>
      </c>
      <c r="L13" s="90">
        <f>'TCO TO BE - HW'!$E43+'TCO TO BE - HW'!$E53+'TCO TO BE - HW'!$E63+'TCO TO BE - HW'!$E73+'TCO TO BE - HW'!$E83</f>
        <v>0</v>
      </c>
      <c r="M13" s="109">
        <f>'TCO TO BE - HW'!$E44+'TCO TO BE - HW'!$E54+'TCO TO BE - HW'!$E64+'TCO TO BE - HW'!$E74+'TCO TO BE - HW'!$E84</f>
        <v>0</v>
      </c>
    </row>
    <row r="14" spans="1:13" ht="15" thickBot="1" x14ac:dyDescent="0.35">
      <c r="A14" s="170"/>
      <c r="B14" s="393" t="s">
        <v>265</v>
      </c>
      <c r="C14" s="394">
        <f t="shared" si="0"/>
        <v>611335.68322580645</v>
      </c>
      <c r="D14" s="395">
        <f>'TCO TO BE- SW'!F130+'TCO TO BE- SW'!F140</f>
        <v>305667.84161290323</v>
      </c>
      <c r="E14" s="396">
        <f>'TCO TO BE- SW'!F131+'TCO TO BE- SW'!F141</f>
        <v>305667.84161290323</v>
      </c>
      <c r="F14" s="396">
        <f>'TCO TO BE- SW'!F132+'TCO TO BE- SW'!F142</f>
        <v>0</v>
      </c>
      <c r="G14" s="396">
        <f>'TCO TO BE- SW'!F133+'TCO TO BE- SW'!F143</f>
        <v>0</v>
      </c>
      <c r="H14" s="396">
        <f>'TCO TO BE- SW'!F134+'TCO TO BE- SW'!F144</f>
        <v>0</v>
      </c>
      <c r="I14" s="396">
        <f>'TCO TO BE- SW'!F135+'TCO TO BE- SW'!F145</f>
        <v>0</v>
      </c>
      <c r="J14" s="396">
        <f>'TCO TO BE- SW'!F136+'TCO TO BE- SW'!F146</f>
        <v>0</v>
      </c>
      <c r="K14" s="396">
        <f>'TCO TO BE- SW'!F137+'TCO TO BE- SW'!F147</f>
        <v>0</v>
      </c>
      <c r="L14" s="396">
        <f>'TCO TO BE- SW'!F138+'TCO TO BE- SW'!F148</f>
        <v>0</v>
      </c>
      <c r="M14" s="397">
        <f>'TCO TO BE- SW'!F139+'TCO TO BE- SW'!F149</f>
        <v>0</v>
      </c>
    </row>
    <row r="15" spans="1:13" ht="15" thickBot="1" x14ac:dyDescent="0.35">
      <c r="A15" s="171"/>
      <c r="B15" s="169" t="s">
        <v>102</v>
      </c>
      <c r="C15" s="95">
        <f>SUM(C7:C14)</f>
        <v>13648699.311225809</v>
      </c>
      <c r="D15" s="91">
        <f>SUM(D7:D14)</f>
        <v>3592577.3536129035</v>
      </c>
      <c r="E15" s="83">
        <f>SUM(E7:E14)</f>
        <v>5463785.0536129056</v>
      </c>
      <c r="F15" s="83">
        <f t="shared" ref="F15:M15" si="1">SUM(F7:F13)</f>
        <v>552592.11300000013</v>
      </c>
      <c r="G15" s="83">
        <f t="shared" si="1"/>
        <v>552592.11300000013</v>
      </c>
      <c r="H15" s="83">
        <f t="shared" si="1"/>
        <v>552592.11300000013</v>
      </c>
      <c r="I15" s="83">
        <f t="shared" si="1"/>
        <v>552592.11300000013</v>
      </c>
      <c r="J15" s="83">
        <f t="shared" si="1"/>
        <v>724192.11300000013</v>
      </c>
      <c r="K15" s="83">
        <f t="shared" si="1"/>
        <v>552592.11300000013</v>
      </c>
      <c r="L15" s="97">
        <f t="shared" si="1"/>
        <v>552592.11300000013</v>
      </c>
      <c r="M15" s="96">
        <f t="shared" si="1"/>
        <v>552592.11300000013</v>
      </c>
    </row>
    <row r="16" spans="1:13" ht="15" thickBot="1" x14ac:dyDescent="0.35">
      <c r="A16" s="81"/>
      <c r="B16" s="89" t="s">
        <v>651</v>
      </c>
      <c r="C16" s="95">
        <f>SUM(D9:E9,D12:E14)</f>
        <v>8733366.9032258093</v>
      </c>
      <c r="D16" s="81"/>
      <c r="E16" s="81"/>
      <c r="F16" s="81"/>
      <c r="G16" s="81"/>
      <c r="H16" s="81"/>
      <c r="I16" s="81"/>
      <c r="J16" s="81"/>
      <c r="K16" s="81"/>
      <c r="L16" s="81"/>
      <c r="M16" s="81"/>
    </row>
    <row r="17" spans="1:13" x14ac:dyDescent="0.3">
      <c r="A17" s="81"/>
      <c r="B17" s="81" t="s">
        <v>760</v>
      </c>
      <c r="C17" s="926">
        <f>SUM(D14:E14)</f>
        <v>611335.68322580645</v>
      </c>
      <c r="D17" s="980"/>
      <c r="E17" s="926"/>
      <c r="F17" s="81"/>
      <c r="G17" s="81"/>
      <c r="H17" s="81"/>
      <c r="I17" s="81"/>
      <c r="J17" s="81"/>
      <c r="K17" s="81"/>
      <c r="L17" s="81"/>
      <c r="M17" s="81"/>
    </row>
    <row r="18" spans="1:13" ht="32.25" customHeight="1" x14ac:dyDescent="0.3">
      <c r="A18" s="1151" t="s">
        <v>644</v>
      </c>
      <c r="B18" s="1151"/>
      <c r="C18" s="1151"/>
      <c r="D18" s="87"/>
      <c r="E18" s="86"/>
      <c r="F18" s="86"/>
      <c r="G18" s="86"/>
      <c r="H18" s="86"/>
      <c r="I18" s="86"/>
      <c r="J18" s="86"/>
      <c r="K18" s="86"/>
      <c r="L18" s="86"/>
      <c r="M18" s="80"/>
    </row>
    <row r="19" spans="1:13" x14ac:dyDescent="0.3">
      <c r="A19" s="81"/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</row>
    <row r="20" spans="1:13" ht="15" thickBot="1" x14ac:dyDescent="0.35">
      <c r="B20" s="81"/>
      <c r="C20" s="85"/>
      <c r="D20" s="1150" t="s">
        <v>99</v>
      </c>
      <c r="E20" s="1150"/>
      <c r="F20" s="1150"/>
      <c r="G20" s="1150"/>
      <c r="H20" s="1150"/>
      <c r="I20" s="1150"/>
      <c r="J20" s="1150"/>
      <c r="K20" s="1150"/>
      <c r="L20" s="1150"/>
      <c r="M20" s="1150"/>
    </row>
    <row r="21" spans="1:13" ht="17.100000000000001" customHeight="1" x14ac:dyDescent="0.3">
      <c r="A21" s="141"/>
      <c r="B21" s="166" t="s">
        <v>210</v>
      </c>
      <c r="C21" s="92" t="s">
        <v>103</v>
      </c>
      <c r="D21" s="105" t="s">
        <v>25</v>
      </c>
      <c r="E21" s="106" t="s">
        <v>26</v>
      </c>
      <c r="F21" s="106" t="s">
        <v>27</v>
      </c>
      <c r="G21" s="106" t="s">
        <v>28</v>
      </c>
      <c r="H21" s="106" t="s">
        <v>29</v>
      </c>
      <c r="I21" s="106" t="s">
        <v>30</v>
      </c>
      <c r="J21" s="106" t="s">
        <v>31</v>
      </c>
      <c r="K21" s="106" t="s">
        <v>32</v>
      </c>
      <c r="L21" s="106" t="s">
        <v>33</v>
      </c>
      <c r="M21" s="107" t="s">
        <v>34</v>
      </c>
    </row>
    <row r="22" spans="1:13" ht="15" customHeight="1" x14ac:dyDescent="0.3">
      <c r="A22" s="170"/>
      <c r="B22" s="103" t="s">
        <v>106</v>
      </c>
      <c r="C22" s="93">
        <v>0</v>
      </c>
      <c r="D22" s="108">
        <v>0</v>
      </c>
      <c r="E22" s="90">
        <v>0</v>
      </c>
      <c r="F22" s="90">
        <v>0</v>
      </c>
      <c r="G22" s="90">
        <v>0</v>
      </c>
      <c r="H22" s="90">
        <v>0</v>
      </c>
      <c r="I22" s="90">
        <v>0</v>
      </c>
      <c r="J22" s="90">
        <v>0</v>
      </c>
      <c r="K22" s="90">
        <v>0</v>
      </c>
      <c r="L22" s="90">
        <v>0</v>
      </c>
      <c r="M22" s="109">
        <v>0</v>
      </c>
    </row>
    <row r="23" spans="1:13" ht="17.25" customHeight="1" x14ac:dyDescent="0.3">
      <c r="A23" s="170"/>
      <c r="B23" s="103" t="s">
        <v>107</v>
      </c>
      <c r="C23" s="93">
        <f>SUM(D23:M23)</f>
        <v>0</v>
      </c>
      <c r="D23" s="108">
        <f>'TCO AS IS - SW'!E5+'TCO AS IS - SW'!E15</f>
        <v>0</v>
      </c>
      <c r="E23" s="90">
        <f>'TCO AS IS - SW'!E6+'TCO AS IS - SW'!E16</f>
        <v>0</v>
      </c>
      <c r="F23" s="90">
        <f>'TCO AS IS - SW'!E7+'TCO AS IS - SW'!E17</f>
        <v>0</v>
      </c>
      <c r="G23" s="90">
        <f>'TCO AS IS - SW'!E8+'TCO AS IS - SW'!E18</f>
        <v>0</v>
      </c>
      <c r="H23" s="90">
        <f>'TCO AS IS - SW'!E9+'TCO AS IS - SW'!E19</f>
        <v>0</v>
      </c>
      <c r="I23" s="90">
        <f>'TCO AS IS - SW'!E10+'TCO AS IS - SW'!E20</f>
        <v>0</v>
      </c>
      <c r="J23" s="90">
        <f>'TCO AS IS - SW'!E11+'TCO AS IS - SW'!E21</f>
        <v>0</v>
      </c>
      <c r="K23" s="90">
        <f>'TCO AS IS - SW'!E12+'TCO AS IS - SW'!E22</f>
        <v>0</v>
      </c>
      <c r="L23" s="90">
        <f>'TCO AS IS - SW'!E13+'TCO AS IS - SW'!E23</f>
        <v>0</v>
      </c>
      <c r="M23" s="109">
        <f>'TCO AS IS - SW'!E14+'TCO AS IS - SW'!E24</f>
        <v>0</v>
      </c>
    </row>
    <row r="24" spans="1:13" x14ac:dyDescent="0.3">
      <c r="A24" s="170"/>
      <c r="B24" s="103" t="s">
        <v>108</v>
      </c>
      <c r="C24" s="93">
        <v>0</v>
      </c>
      <c r="D24" s="108">
        <v>0</v>
      </c>
      <c r="E24" s="90">
        <v>0</v>
      </c>
      <c r="F24" s="90">
        <v>0</v>
      </c>
      <c r="G24" s="90">
        <v>0</v>
      </c>
      <c r="H24" s="90">
        <v>0</v>
      </c>
      <c r="I24" s="90">
        <v>0</v>
      </c>
      <c r="J24" s="90">
        <v>0</v>
      </c>
      <c r="K24" s="90">
        <v>0</v>
      </c>
      <c r="L24" s="90">
        <v>0</v>
      </c>
      <c r="M24" s="109">
        <v>0</v>
      </c>
    </row>
    <row r="25" spans="1:13" x14ac:dyDescent="0.3">
      <c r="A25" s="170"/>
      <c r="B25" s="103" t="s">
        <v>109</v>
      </c>
      <c r="C25" s="93">
        <f>SUM(D25:M25)</f>
        <v>315647.99999999994</v>
      </c>
      <c r="D25" s="108">
        <f>'TCO AS IS - SW'!E26+'TCO AS IS - SW'!E36+'TCO AS IS - SW'!E46+'TCO AS IS - SW'!E56+'TCO AS IS - SW'!E66</f>
        <v>31564.799999999999</v>
      </c>
      <c r="E25" s="90">
        <f>'TCO AS IS - SW'!E27+'TCO AS IS - SW'!E37+'TCO AS IS - SW'!E47+'TCO AS IS - SW'!E57+'TCO AS IS - SW'!E67</f>
        <v>31564.799999999999</v>
      </c>
      <c r="F25" s="90">
        <f>'TCO AS IS - SW'!E28+'TCO AS IS - SW'!E38+'TCO AS IS - SW'!E48+'TCO AS IS - SW'!E58+'TCO AS IS - SW'!E68</f>
        <v>31564.799999999999</v>
      </c>
      <c r="G25" s="90">
        <f>'TCO AS IS - SW'!E29+'TCO AS IS - SW'!E39+'TCO AS IS - SW'!E49+'TCO AS IS - SW'!E59+'TCO AS IS - SW'!E69</f>
        <v>31564.799999999999</v>
      </c>
      <c r="H25" s="90">
        <f>'TCO AS IS - SW'!E30+'TCO AS IS - SW'!E40+'TCO AS IS - SW'!E50+'TCO AS IS - SW'!E60+'TCO AS IS - SW'!E70</f>
        <v>31564.799999999999</v>
      </c>
      <c r="I25" s="90">
        <f>'TCO AS IS - SW'!E31+'TCO AS IS - SW'!E41+'TCO AS IS - SW'!E51+'TCO AS IS - SW'!E61+'TCO AS IS - SW'!E71</f>
        <v>31564.799999999999</v>
      </c>
      <c r="J25" s="90">
        <f>'TCO AS IS - SW'!E32+'TCO AS IS - SW'!E42+'TCO AS IS - SW'!E52+'TCO AS IS - SW'!E62+'TCO AS IS - SW'!E72</f>
        <v>31564.799999999999</v>
      </c>
      <c r="K25" s="90">
        <f>'TCO AS IS - SW'!E33+'TCO AS IS - SW'!E43+'TCO AS IS - SW'!E53+'TCO AS IS - SW'!E63+'TCO AS IS - SW'!E73</f>
        <v>31564.799999999999</v>
      </c>
      <c r="L25" s="90">
        <f>'TCO AS IS - SW'!E34+'TCO AS IS - SW'!E44+'TCO AS IS - SW'!E54+'TCO AS IS - SW'!E64+'TCO AS IS - SW'!E74</f>
        <v>31564.799999999999</v>
      </c>
      <c r="M25" s="109">
        <f>'TCO AS IS - SW'!E35+'TCO AS IS - SW'!E45+'TCO AS IS - SW'!E55+'TCO AS IS - SW'!E65+'TCO AS IS - SW'!E75</f>
        <v>31564.799999999999</v>
      </c>
    </row>
    <row r="26" spans="1:13" x14ac:dyDescent="0.3">
      <c r="A26" s="170"/>
      <c r="B26" s="103" t="s">
        <v>100</v>
      </c>
      <c r="C26" s="93">
        <v>0</v>
      </c>
      <c r="D26" s="108">
        <v>0</v>
      </c>
      <c r="E26" s="90">
        <v>0</v>
      </c>
      <c r="F26" s="90">
        <v>0</v>
      </c>
      <c r="G26" s="90">
        <v>0</v>
      </c>
      <c r="H26" s="90">
        <v>0</v>
      </c>
      <c r="I26" s="90">
        <v>0</v>
      </c>
      <c r="J26" s="90">
        <v>0</v>
      </c>
      <c r="K26" s="90">
        <v>0</v>
      </c>
      <c r="L26" s="90">
        <v>0</v>
      </c>
      <c r="M26" s="109">
        <v>0</v>
      </c>
    </row>
    <row r="27" spans="1:13" ht="15" thickBot="1" x14ac:dyDescent="0.35">
      <c r="A27" s="170"/>
      <c r="B27" s="104" t="s">
        <v>101</v>
      </c>
      <c r="C27" s="94">
        <f>SUM(D27:M27)</f>
        <v>0</v>
      </c>
      <c r="D27" s="110">
        <f>'TCO AS IS - HW'!E4+'TCO AS IS - HW'!E14+'TCO AS IS - HW'!E24+'TCO AS IS - HW'!E34+'TCO AS IS - HW'!E44</f>
        <v>0</v>
      </c>
      <c r="E27" s="111">
        <f>'TCO AS IS - HW'!E5+'TCO AS IS - HW'!E15+'TCO AS IS - HW'!E25+'TCO AS IS - HW'!E35+'TCO AS IS - HW'!E45</f>
        <v>0</v>
      </c>
      <c r="F27" s="111">
        <f>'TCO AS IS - HW'!E6+'TCO AS IS - HW'!E16+'TCO AS IS - HW'!E26+'TCO AS IS - HW'!E36+'TCO AS IS - HW'!E46</f>
        <v>0</v>
      </c>
      <c r="G27" s="111">
        <f>'TCO AS IS - HW'!E7+'TCO AS IS - HW'!E17+'TCO AS IS - HW'!E27+'TCO AS IS - HW'!E37+'TCO AS IS - HW'!E47</f>
        <v>0</v>
      </c>
      <c r="H27" s="111">
        <f>'TCO AS IS - HW'!E8+'TCO AS IS - HW'!E18+'TCO AS IS - HW'!E28+'TCO AS IS - HW'!E38+'TCO AS IS - HW'!E48</f>
        <v>0</v>
      </c>
      <c r="I27" s="111">
        <f>'TCO AS IS - HW'!E9+'TCO AS IS - HW'!E19+'TCO AS IS - HW'!E29+'TCO AS IS - HW'!E39+'TCO AS IS - HW'!E49</f>
        <v>0</v>
      </c>
      <c r="J27" s="111">
        <f>'TCO AS IS - HW'!E10+'TCO AS IS - HW'!E20+'TCO AS IS - HW'!E30+'TCO AS IS - HW'!E40+'TCO AS IS - HW'!E50</f>
        <v>0</v>
      </c>
      <c r="K27" s="111">
        <f>'TCO AS IS - HW'!E11+'TCO AS IS - HW'!E21+'TCO AS IS - HW'!E31+'TCO AS IS - HW'!E41+'TCO AS IS - HW'!E51</f>
        <v>0</v>
      </c>
      <c r="L27" s="111">
        <f>'TCO AS IS - HW'!E12+'TCO AS IS - HW'!E22+'TCO AS IS - HW'!E32+'TCO AS IS - HW'!E42+'TCO AS IS - HW'!E52</f>
        <v>0</v>
      </c>
      <c r="M27" s="112">
        <f>'TCO AS IS - HW'!E13+'TCO AS IS - HW'!E23+'TCO AS IS - HW'!E33+'TCO AS IS - HW'!E43+'TCO AS IS - HW'!E53</f>
        <v>0</v>
      </c>
    </row>
    <row r="28" spans="1:13" ht="15" thickBot="1" x14ac:dyDescent="0.35">
      <c r="A28" s="171"/>
      <c r="B28" s="89" t="s">
        <v>102</v>
      </c>
      <c r="C28" s="95">
        <f t="shared" ref="C28:M28" si="2">SUM(C22:C27)</f>
        <v>315647.99999999994</v>
      </c>
      <c r="D28" s="91">
        <f t="shared" si="2"/>
        <v>31564.799999999999</v>
      </c>
      <c r="E28" s="83">
        <f t="shared" si="2"/>
        <v>31564.799999999999</v>
      </c>
      <c r="F28" s="83">
        <f t="shared" si="2"/>
        <v>31564.799999999999</v>
      </c>
      <c r="G28" s="83">
        <f t="shared" si="2"/>
        <v>31564.799999999999</v>
      </c>
      <c r="H28" s="83">
        <f t="shared" si="2"/>
        <v>31564.799999999999</v>
      </c>
      <c r="I28" s="83">
        <f t="shared" si="2"/>
        <v>31564.799999999999</v>
      </c>
      <c r="J28" s="83">
        <f t="shared" si="2"/>
        <v>31564.799999999999</v>
      </c>
      <c r="K28" s="83">
        <f t="shared" si="2"/>
        <v>31564.799999999999</v>
      </c>
      <c r="L28" s="97">
        <f t="shared" si="2"/>
        <v>31564.799999999999</v>
      </c>
      <c r="M28" s="96">
        <f t="shared" si="2"/>
        <v>31564.799999999999</v>
      </c>
    </row>
    <row r="29" spans="1:13" x14ac:dyDescent="0.3">
      <c r="A29" s="163"/>
      <c r="B29" s="164"/>
      <c r="C29" s="165"/>
      <c r="D29" s="165"/>
      <c r="E29" s="165"/>
      <c r="F29" s="165"/>
      <c r="G29" s="165"/>
      <c r="H29" s="165"/>
      <c r="I29" s="165"/>
      <c r="J29" s="165"/>
      <c r="K29" s="165"/>
      <c r="L29" s="165"/>
      <c r="M29" s="165"/>
    </row>
    <row r="32" spans="1:13" ht="15.75" customHeight="1" x14ac:dyDescent="0.3">
      <c r="A32" s="1151" t="s">
        <v>645</v>
      </c>
      <c r="B32" s="1151"/>
      <c r="C32" s="1151"/>
    </row>
    <row r="34" spans="1:13" ht="15" thickBot="1" x14ac:dyDescent="0.35"/>
    <row r="35" spans="1:13" x14ac:dyDescent="0.3">
      <c r="A35" s="141"/>
      <c r="B35" s="166" t="s">
        <v>150</v>
      </c>
      <c r="C35" s="126" t="s">
        <v>103</v>
      </c>
      <c r="D35" s="127" t="s">
        <v>25</v>
      </c>
      <c r="E35" s="128" t="s">
        <v>26</v>
      </c>
      <c r="F35" s="128" t="s">
        <v>27</v>
      </c>
      <c r="G35" s="128" t="s">
        <v>28</v>
      </c>
      <c r="H35" s="128" t="s">
        <v>29</v>
      </c>
      <c r="I35" s="128" t="s">
        <v>30</v>
      </c>
      <c r="J35" s="128" t="s">
        <v>31</v>
      </c>
      <c r="K35" s="128" t="s">
        <v>32</v>
      </c>
      <c r="L35" s="128" t="s">
        <v>33</v>
      </c>
      <c r="M35" s="129" t="s">
        <v>34</v>
      </c>
    </row>
    <row r="36" spans="1:13" x14ac:dyDescent="0.3">
      <c r="A36" s="170"/>
      <c r="B36" s="130" t="s">
        <v>106</v>
      </c>
      <c r="C36" s="93">
        <f>SUM(D36:M36)</f>
        <v>0</v>
      </c>
      <c r="D36" s="108">
        <f t="shared" ref="D36:M36" si="3">D7-D22</f>
        <v>0</v>
      </c>
      <c r="E36" s="90">
        <f t="shared" si="3"/>
        <v>0</v>
      </c>
      <c r="F36" s="90">
        <f t="shared" si="3"/>
        <v>0</v>
      </c>
      <c r="G36" s="90">
        <f t="shared" si="3"/>
        <v>0</v>
      </c>
      <c r="H36" s="90">
        <f t="shared" si="3"/>
        <v>0</v>
      </c>
      <c r="I36" s="90">
        <f t="shared" si="3"/>
        <v>0</v>
      </c>
      <c r="J36" s="90">
        <f t="shared" si="3"/>
        <v>0</v>
      </c>
      <c r="K36" s="90">
        <f t="shared" si="3"/>
        <v>0</v>
      </c>
      <c r="L36" s="90">
        <f t="shared" si="3"/>
        <v>0</v>
      </c>
      <c r="M36" s="131">
        <f t="shared" si="3"/>
        <v>0</v>
      </c>
    </row>
    <row r="37" spans="1:13" x14ac:dyDescent="0.3">
      <c r="A37" s="170"/>
      <c r="B37" s="103" t="s">
        <v>107</v>
      </c>
      <c r="C37" s="93">
        <f t="shared" ref="C37:C43" si="4">SUM(D37:M37)</f>
        <v>0</v>
      </c>
      <c r="D37" s="108">
        <f t="shared" ref="D37:M37" si="5">D8-D23</f>
        <v>0</v>
      </c>
      <c r="E37" s="90">
        <f t="shared" si="5"/>
        <v>0</v>
      </c>
      <c r="F37" s="90">
        <f t="shared" si="5"/>
        <v>0</v>
      </c>
      <c r="G37" s="90">
        <f t="shared" si="5"/>
        <v>0</v>
      </c>
      <c r="H37" s="90">
        <f t="shared" si="5"/>
        <v>0</v>
      </c>
      <c r="I37" s="90">
        <f t="shared" si="5"/>
        <v>0</v>
      </c>
      <c r="J37" s="90">
        <f t="shared" si="5"/>
        <v>0</v>
      </c>
      <c r="K37" s="90">
        <f t="shared" si="5"/>
        <v>0</v>
      </c>
      <c r="L37" s="132">
        <f t="shared" si="5"/>
        <v>0</v>
      </c>
      <c r="M37" s="109">
        <f t="shared" si="5"/>
        <v>0</v>
      </c>
    </row>
    <row r="38" spans="1:13" x14ac:dyDescent="0.3">
      <c r="A38" s="170"/>
      <c r="B38" s="130" t="s">
        <v>108</v>
      </c>
      <c r="C38" s="93">
        <f t="shared" si="4"/>
        <v>7821887.2200000025</v>
      </c>
      <c r="D38" s="108">
        <f t="shared" ref="D38:M38" si="6">D9-D24</f>
        <v>2825267.7600000002</v>
      </c>
      <c r="E38" s="90">
        <f t="shared" si="6"/>
        <v>4996619.4600000018</v>
      </c>
      <c r="F38" s="90">
        <f t="shared" si="6"/>
        <v>0</v>
      </c>
      <c r="G38" s="90">
        <f t="shared" si="6"/>
        <v>0</v>
      </c>
      <c r="H38" s="90">
        <f t="shared" si="6"/>
        <v>0</v>
      </c>
      <c r="I38" s="90">
        <f t="shared" si="6"/>
        <v>0</v>
      </c>
      <c r="J38" s="90">
        <f t="shared" si="6"/>
        <v>0</v>
      </c>
      <c r="K38" s="90">
        <f t="shared" si="6"/>
        <v>0</v>
      </c>
      <c r="L38" s="132">
        <f t="shared" si="6"/>
        <v>0</v>
      </c>
      <c r="M38" s="109">
        <f t="shared" si="6"/>
        <v>0</v>
      </c>
    </row>
    <row r="39" spans="1:13" x14ac:dyDescent="0.3">
      <c r="A39" s="170"/>
      <c r="B39" s="103" t="s">
        <v>109</v>
      </c>
      <c r="C39" s="93">
        <f t="shared" si="4"/>
        <v>4428084.4080000008</v>
      </c>
      <c r="D39" s="108">
        <f t="shared" ref="D39:M39" si="7">D10-D25</f>
        <v>129932.95199999998</v>
      </c>
      <c r="E39" s="90">
        <f t="shared" si="7"/>
        <v>129932.95199999998</v>
      </c>
      <c r="F39" s="90">
        <f t="shared" si="7"/>
        <v>521027.31300000014</v>
      </c>
      <c r="G39" s="90">
        <f t="shared" si="7"/>
        <v>521027.31300000014</v>
      </c>
      <c r="H39" s="90">
        <f t="shared" si="7"/>
        <v>521027.31300000014</v>
      </c>
      <c r="I39" s="90">
        <f t="shared" si="7"/>
        <v>521027.31300000014</v>
      </c>
      <c r="J39" s="90">
        <f t="shared" si="7"/>
        <v>521027.31300000014</v>
      </c>
      <c r="K39" s="90">
        <f t="shared" si="7"/>
        <v>521027.31300000014</v>
      </c>
      <c r="L39" s="132">
        <f t="shared" si="7"/>
        <v>521027.31300000014</v>
      </c>
      <c r="M39" s="109">
        <f t="shared" si="7"/>
        <v>521027.31300000014</v>
      </c>
    </row>
    <row r="40" spans="1:13" x14ac:dyDescent="0.3">
      <c r="A40" s="170"/>
      <c r="B40" s="103" t="s">
        <v>295</v>
      </c>
      <c r="C40" s="93">
        <f t="shared" si="4"/>
        <v>0</v>
      </c>
      <c r="D40" s="108">
        <f t="shared" ref="D40:M40" si="8">D11</f>
        <v>0</v>
      </c>
      <c r="E40" s="90">
        <f t="shared" si="8"/>
        <v>0</v>
      </c>
      <c r="F40" s="90">
        <f t="shared" si="8"/>
        <v>0</v>
      </c>
      <c r="G40" s="90">
        <f t="shared" si="8"/>
        <v>0</v>
      </c>
      <c r="H40" s="90">
        <f t="shared" si="8"/>
        <v>0</v>
      </c>
      <c r="I40" s="90">
        <f t="shared" si="8"/>
        <v>0</v>
      </c>
      <c r="J40" s="90">
        <f t="shared" si="8"/>
        <v>0</v>
      </c>
      <c r="K40" s="90">
        <f t="shared" si="8"/>
        <v>0</v>
      </c>
      <c r="L40" s="132">
        <f t="shared" si="8"/>
        <v>0</v>
      </c>
      <c r="M40" s="109">
        <f t="shared" si="8"/>
        <v>0</v>
      </c>
    </row>
    <row r="41" spans="1:13" x14ac:dyDescent="0.3">
      <c r="A41" s="170"/>
      <c r="B41" s="103" t="s">
        <v>152</v>
      </c>
      <c r="C41" s="93">
        <f t="shared" si="4"/>
        <v>300144</v>
      </c>
      <c r="D41" s="108">
        <f t="shared" ref="D41:M41" si="9">D12-D26</f>
        <v>300144</v>
      </c>
      <c r="E41" s="90">
        <f t="shared" si="9"/>
        <v>0</v>
      </c>
      <c r="F41" s="90">
        <f t="shared" si="9"/>
        <v>0</v>
      </c>
      <c r="G41" s="90">
        <f t="shared" si="9"/>
        <v>0</v>
      </c>
      <c r="H41" s="90">
        <f t="shared" si="9"/>
        <v>0</v>
      </c>
      <c r="I41" s="90">
        <f t="shared" si="9"/>
        <v>0</v>
      </c>
      <c r="J41" s="90">
        <f t="shared" si="9"/>
        <v>0</v>
      </c>
      <c r="K41" s="90">
        <f t="shared" si="9"/>
        <v>0</v>
      </c>
      <c r="L41" s="132">
        <f t="shared" si="9"/>
        <v>0</v>
      </c>
      <c r="M41" s="109">
        <f t="shared" si="9"/>
        <v>0</v>
      </c>
    </row>
    <row r="42" spans="1:13" x14ac:dyDescent="0.3">
      <c r="A42" s="170"/>
      <c r="B42" s="104" t="s">
        <v>153</v>
      </c>
      <c r="C42" s="94">
        <f t="shared" si="4"/>
        <v>171600</v>
      </c>
      <c r="D42" s="108">
        <f t="shared" ref="D42:M42" si="10">D13-D27</f>
        <v>0</v>
      </c>
      <c r="E42" s="90">
        <f t="shared" si="10"/>
        <v>0</v>
      </c>
      <c r="F42" s="90">
        <f t="shared" si="10"/>
        <v>0</v>
      </c>
      <c r="G42" s="90">
        <f t="shared" si="10"/>
        <v>0</v>
      </c>
      <c r="H42" s="90">
        <f t="shared" si="10"/>
        <v>0</v>
      </c>
      <c r="I42" s="90">
        <f t="shared" si="10"/>
        <v>0</v>
      </c>
      <c r="J42" s="90">
        <f t="shared" si="10"/>
        <v>171600</v>
      </c>
      <c r="K42" s="90">
        <f t="shared" si="10"/>
        <v>0</v>
      </c>
      <c r="L42" s="132">
        <f t="shared" si="10"/>
        <v>0</v>
      </c>
      <c r="M42" s="109">
        <f t="shared" si="10"/>
        <v>0</v>
      </c>
    </row>
    <row r="43" spans="1:13" ht="15" thickBot="1" x14ac:dyDescent="0.35">
      <c r="A43" s="170"/>
      <c r="B43" s="103" t="s">
        <v>265</v>
      </c>
      <c r="C43" s="93">
        <f t="shared" si="4"/>
        <v>611335.68322580645</v>
      </c>
      <c r="D43" s="108">
        <f t="shared" ref="D43:M43" si="11">D14</f>
        <v>305667.84161290323</v>
      </c>
      <c r="E43" s="90">
        <f t="shared" si="11"/>
        <v>305667.84161290323</v>
      </c>
      <c r="F43" s="90">
        <f t="shared" si="11"/>
        <v>0</v>
      </c>
      <c r="G43" s="90">
        <f t="shared" si="11"/>
        <v>0</v>
      </c>
      <c r="H43" s="90">
        <f t="shared" si="11"/>
        <v>0</v>
      </c>
      <c r="I43" s="90">
        <f t="shared" si="11"/>
        <v>0</v>
      </c>
      <c r="J43" s="90">
        <f t="shared" si="11"/>
        <v>0</v>
      </c>
      <c r="K43" s="90">
        <f t="shared" si="11"/>
        <v>0</v>
      </c>
      <c r="L43" s="132">
        <f t="shared" si="11"/>
        <v>0</v>
      </c>
      <c r="M43" s="109">
        <f t="shared" si="11"/>
        <v>0</v>
      </c>
    </row>
    <row r="44" spans="1:13" ht="15" thickBot="1" x14ac:dyDescent="0.35">
      <c r="A44" s="171"/>
      <c r="B44" s="89" t="s">
        <v>102</v>
      </c>
      <c r="C44" s="95">
        <f>SUM(D44:M44)</f>
        <v>13027383.469612911</v>
      </c>
      <c r="D44" s="91">
        <f>SUM(D36:D43)</f>
        <v>3561012.5536129037</v>
      </c>
      <c r="E44" s="83">
        <f t="shared" ref="E44:M44" si="12">SUM(E36:E42)</f>
        <v>5126552.4120000014</v>
      </c>
      <c r="F44" s="83">
        <f t="shared" si="12"/>
        <v>521027.31300000014</v>
      </c>
      <c r="G44" s="83">
        <f t="shared" si="12"/>
        <v>521027.31300000014</v>
      </c>
      <c r="H44" s="83">
        <f t="shared" si="12"/>
        <v>521027.31300000014</v>
      </c>
      <c r="I44" s="83">
        <f t="shared" si="12"/>
        <v>521027.31300000014</v>
      </c>
      <c r="J44" s="83">
        <f t="shared" si="12"/>
        <v>692627.31300000008</v>
      </c>
      <c r="K44" s="83">
        <f t="shared" si="12"/>
        <v>521027.31300000014</v>
      </c>
      <c r="L44" s="97">
        <f t="shared" si="12"/>
        <v>521027.31300000014</v>
      </c>
      <c r="M44" s="96">
        <f t="shared" si="12"/>
        <v>521027.31300000014</v>
      </c>
    </row>
  </sheetData>
  <mergeCells count="4">
    <mergeCell ref="D5:M5"/>
    <mergeCell ref="A18:C18"/>
    <mergeCell ref="D20:M20"/>
    <mergeCell ref="A32:C32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outlinePr summaryBelow="0" summaryRight="0"/>
  </sheetPr>
  <dimension ref="A1:E77"/>
  <sheetViews>
    <sheetView showGridLines="0" zoomScale="90" zoomScaleNormal="90" workbookViewId="0">
      <pane ySplit="3" topLeftCell="A4" activePane="bottomLeft" state="frozen"/>
      <selection pane="bottomLeft" activeCell="E36" sqref="E36"/>
    </sheetView>
  </sheetViews>
  <sheetFormatPr defaultColWidth="8.88671875" defaultRowHeight="14.4" outlineLevelRow="2" x14ac:dyDescent="0.3"/>
  <cols>
    <col min="1" max="1" width="22.44140625" customWidth="1"/>
    <col min="2" max="2" width="23.33203125" customWidth="1"/>
    <col min="3" max="3" width="22.44140625" customWidth="1"/>
    <col min="5" max="5" width="17.88671875" customWidth="1"/>
  </cols>
  <sheetData>
    <row r="1" spans="1:5" ht="25.35" customHeight="1" thickBot="1" x14ac:dyDescent="0.45">
      <c r="A1" s="1152" t="s">
        <v>642</v>
      </c>
      <c r="B1" s="1152"/>
      <c r="C1" s="1152"/>
      <c r="D1" s="1153"/>
      <c r="E1" s="70" t="s">
        <v>35</v>
      </c>
    </row>
    <row r="2" spans="1:5" ht="15" collapsed="1" thickBot="1" x14ac:dyDescent="0.35">
      <c r="A2" s="40" t="s">
        <v>0</v>
      </c>
      <c r="B2" s="75" t="s">
        <v>75</v>
      </c>
      <c r="C2" s="75" t="s">
        <v>74</v>
      </c>
      <c r="D2" s="75" t="s">
        <v>23</v>
      </c>
      <c r="E2" s="17"/>
    </row>
    <row r="3" spans="1:5" ht="15" thickBot="1" x14ac:dyDescent="0.35">
      <c r="A3" s="1154" t="s">
        <v>79</v>
      </c>
      <c r="B3" s="1155"/>
      <c r="C3" s="1155"/>
      <c r="D3" s="79"/>
      <c r="E3" s="574">
        <f>E4+E25</f>
        <v>315647.99999999994</v>
      </c>
    </row>
    <row r="4" spans="1:5" ht="15" outlineLevel="1" thickBot="1" x14ac:dyDescent="0.35">
      <c r="A4" s="17" t="s">
        <v>104</v>
      </c>
      <c r="B4" s="17"/>
      <c r="C4" s="17"/>
      <c r="D4" s="28"/>
      <c r="E4" s="611">
        <f>SUM(E5:E24)</f>
        <v>0</v>
      </c>
    </row>
    <row r="5" spans="1:5" outlineLevel="2" x14ac:dyDescent="0.3">
      <c r="A5" s="1156" t="s">
        <v>80</v>
      </c>
      <c r="B5" s="1157" t="s">
        <v>81</v>
      </c>
      <c r="C5" s="1156" t="s">
        <v>345</v>
      </c>
      <c r="D5" s="67" t="s">
        <v>25</v>
      </c>
      <c r="E5" s="578">
        <v>0</v>
      </c>
    </row>
    <row r="6" spans="1:5" outlineLevel="2" x14ac:dyDescent="0.3">
      <c r="A6" s="1156"/>
      <c r="B6" s="1157"/>
      <c r="C6" s="1156"/>
      <c r="D6" s="68" t="s">
        <v>26</v>
      </c>
      <c r="E6" s="583">
        <v>0</v>
      </c>
    </row>
    <row r="7" spans="1:5" outlineLevel="2" x14ac:dyDescent="0.3">
      <c r="A7" s="1156"/>
      <c r="B7" s="1157"/>
      <c r="C7" s="1156"/>
      <c r="D7" s="68" t="s">
        <v>27</v>
      </c>
      <c r="E7" s="583">
        <v>0</v>
      </c>
    </row>
    <row r="8" spans="1:5" outlineLevel="2" x14ac:dyDescent="0.3">
      <c r="A8" s="1156"/>
      <c r="B8" s="1157"/>
      <c r="C8" s="1156"/>
      <c r="D8" s="68" t="s">
        <v>28</v>
      </c>
      <c r="E8" s="583">
        <v>0</v>
      </c>
    </row>
    <row r="9" spans="1:5" outlineLevel="2" x14ac:dyDescent="0.3">
      <c r="A9" s="1156"/>
      <c r="B9" s="1157"/>
      <c r="C9" s="1156"/>
      <c r="D9" s="68" t="s">
        <v>29</v>
      </c>
      <c r="E9" s="583">
        <v>0</v>
      </c>
    </row>
    <row r="10" spans="1:5" outlineLevel="2" x14ac:dyDescent="0.3">
      <c r="A10" s="1156"/>
      <c r="B10" s="1157"/>
      <c r="C10" s="1156"/>
      <c r="D10" s="68" t="s">
        <v>30</v>
      </c>
      <c r="E10" s="583">
        <v>0</v>
      </c>
    </row>
    <row r="11" spans="1:5" outlineLevel="2" x14ac:dyDescent="0.3">
      <c r="A11" s="1156"/>
      <c r="B11" s="1157"/>
      <c r="C11" s="1156"/>
      <c r="D11" s="68" t="s">
        <v>31</v>
      </c>
      <c r="E11" s="583">
        <v>0</v>
      </c>
    </row>
    <row r="12" spans="1:5" outlineLevel="2" x14ac:dyDescent="0.3">
      <c r="A12" s="1156"/>
      <c r="B12" s="1157"/>
      <c r="C12" s="1156"/>
      <c r="D12" s="68" t="s">
        <v>32</v>
      </c>
      <c r="E12" s="583">
        <v>0</v>
      </c>
    </row>
    <row r="13" spans="1:5" outlineLevel="2" x14ac:dyDescent="0.3">
      <c r="A13" s="1156"/>
      <c r="B13" s="1157"/>
      <c r="C13" s="1156"/>
      <c r="D13" s="68" t="s">
        <v>33</v>
      </c>
      <c r="E13" s="583">
        <v>0</v>
      </c>
    </row>
    <row r="14" spans="1:5" ht="15" outlineLevel="2" thickBot="1" x14ac:dyDescent="0.35">
      <c r="A14" s="1156"/>
      <c r="B14" s="1157"/>
      <c r="C14" s="1156"/>
      <c r="D14" s="69" t="s">
        <v>34</v>
      </c>
      <c r="E14" s="592">
        <v>0</v>
      </c>
    </row>
    <row r="15" spans="1:5" outlineLevel="2" x14ac:dyDescent="0.3">
      <c r="A15" s="1156" t="s">
        <v>82</v>
      </c>
      <c r="B15" s="1157" t="s">
        <v>73</v>
      </c>
      <c r="C15" s="1156" t="s">
        <v>346</v>
      </c>
      <c r="D15" s="67" t="s">
        <v>25</v>
      </c>
      <c r="E15" s="583">
        <v>0</v>
      </c>
    </row>
    <row r="16" spans="1:5" outlineLevel="2" x14ac:dyDescent="0.3">
      <c r="A16" s="1156"/>
      <c r="B16" s="1157"/>
      <c r="C16" s="1156"/>
      <c r="D16" s="68" t="s">
        <v>26</v>
      </c>
      <c r="E16" s="583">
        <v>0</v>
      </c>
    </row>
    <row r="17" spans="1:5" outlineLevel="2" x14ac:dyDescent="0.3">
      <c r="A17" s="1156"/>
      <c r="B17" s="1157"/>
      <c r="C17" s="1156"/>
      <c r="D17" s="68" t="s">
        <v>27</v>
      </c>
      <c r="E17" s="583">
        <v>0</v>
      </c>
    </row>
    <row r="18" spans="1:5" outlineLevel="2" x14ac:dyDescent="0.3">
      <c r="A18" s="1156"/>
      <c r="B18" s="1157"/>
      <c r="C18" s="1156"/>
      <c r="D18" s="68" t="s">
        <v>28</v>
      </c>
      <c r="E18" s="583">
        <v>0</v>
      </c>
    </row>
    <row r="19" spans="1:5" outlineLevel="2" x14ac:dyDescent="0.3">
      <c r="A19" s="1156"/>
      <c r="B19" s="1157"/>
      <c r="C19" s="1156"/>
      <c r="D19" s="68" t="s">
        <v>29</v>
      </c>
      <c r="E19" s="583">
        <v>0</v>
      </c>
    </row>
    <row r="20" spans="1:5" outlineLevel="2" x14ac:dyDescent="0.3">
      <c r="A20" s="1156"/>
      <c r="B20" s="1157"/>
      <c r="C20" s="1156"/>
      <c r="D20" s="68" t="s">
        <v>30</v>
      </c>
      <c r="E20" s="583">
        <v>0</v>
      </c>
    </row>
    <row r="21" spans="1:5" outlineLevel="2" x14ac:dyDescent="0.3">
      <c r="A21" s="1156"/>
      <c r="B21" s="1157"/>
      <c r="C21" s="1156"/>
      <c r="D21" s="68" t="s">
        <v>31</v>
      </c>
      <c r="E21" s="583">
        <v>0</v>
      </c>
    </row>
    <row r="22" spans="1:5" outlineLevel="2" x14ac:dyDescent="0.3">
      <c r="A22" s="1156"/>
      <c r="B22" s="1157"/>
      <c r="C22" s="1156"/>
      <c r="D22" s="68" t="s">
        <v>32</v>
      </c>
      <c r="E22" s="583">
        <v>0</v>
      </c>
    </row>
    <row r="23" spans="1:5" outlineLevel="2" x14ac:dyDescent="0.3">
      <c r="A23" s="1156"/>
      <c r="B23" s="1157"/>
      <c r="C23" s="1156"/>
      <c r="D23" s="68" t="s">
        <v>33</v>
      </c>
      <c r="E23" s="583">
        <v>0</v>
      </c>
    </row>
    <row r="24" spans="1:5" ht="15" outlineLevel="2" thickBot="1" x14ac:dyDescent="0.35">
      <c r="A24" s="1156"/>
      <c r="B24" s="1157"/>
      <c r="C24" s="1156"/>
      <c r="D24" s="69" t="s">
        <v>34</v>
      </c>
      <c r="E24" s="592">
        <v>0</v>
      </c>
    </row>
    <row r="25" spans="1:5" ht="15" outlineLevel="1" thickBot="1" x14ac:dyDescent="0.35">
      <c r="A25" s="17" t="s">
        <v>105</v>
      </c>
      <c r="B25" s="17"/>
      <c r="C25" s="17"/>
      <c r="D25" s="28"/>
      <c r="E25" s="615">
        <f>SUM(E26:E75)</f>
        <v>315647.99999999994</v>
      </c>
    </row>
    <row r="26" spans="1:5" outlineLevel="2" x14ac:dyDescent="0.3">
      <c r="A26" s="1156" t="s">
        <v>83</v>
      </c>
      <c r="B26" s="1157" t="s">
        <v>81</v>
      </c>
      <c r="C26" s="1156" t="s">
        <v>345</v>
      </c>
      <c r="D26" s="67" t="s">
        <v>25</v>
      </c>
      <c r="E26" s="596">
        <v>0</v>
      </c>
    </row>
    <row r="27" spans="1:5" outlineLevel="2" x14ac:dyDescent="0.3">
      <c r="A27" s="1156"/>
      <c r="B27" s="1157"/>
      <c r="C27" s="1156"/>
      <c r="D27" s="68" t="s">
        <v>26</v>
      </c>
      <c r="E27" s="601">
        <v>0</v>
      </c>
    </row>
    <row r="28" spans="1:5" outlineLevel="2" x14ac:dyDescent="0.3">
      <c r="A28" s="1156"/>
      <c r="B28" s="1157"/>
      <c r="C28" s="1156"/>
      <c r="D28" s="68" t="s">
        <v>27</v>
      </c>
      <c r="E28" s="601">
        <v>0</v>
      </c>
    </row>
    <row r="29" spans="1:5" outlineLevel="2" x14ac:dyDescent="0.3">
      <c r="A29" s="1156"/>
      <c r="B29" s="1157"/>
      <c r="C29" s="1156"/>
      <c r="D29" s="68" t="s">
        <v>28</v>
      </c>
      <c r="E29" s="601">
        <v>0</v>
      </c>
    </row>
    <row r="30" spans="1:5" outlineLevel="2" x14ac:dyDescent="0.3">
      <c r="A30" s="1156"/>
      <c r="B30" s="1157"/>
      <c r="C30" s="1156"/>
      <c r="D30" s="68" t="s">
        <v>29</v>
      </c>
      <c r="E30" s="601">
        <v>0</v>
      </c>
    </row>
    <row r="31" spans="1:5" outlineLevel="2" x14ac:dyDescent="0.3">
      <c r="A31" s="1156"/>
      <c r="B31" s="1157"/>
      <c r="C31" s="1156"/>
      <c r="D31" s="68" t="s">
        <v>30</v>
      </c>
      <c r="E31" s="601">
        <v>0</v>
      </c>
    </row>
    <row r="32" spans="1:5" outlineLevel="2" x14ac:dyDescent="0.3">
      <c r="A32" s="1156"/>
      <c r="B32" s="1157"/>
      <c r="C32" s="1156"/>
      <c r="D32" s="68" t="s">
        <v>31</v>
      </c>
      <c r="E32" s="601">
        <v>0</v>
      </c>
    </row>
    <row r="33" spans="1:5" outlineLevel="2" x14ac:dyDescent="0.3">
      <c r="A33" s="1156"/>
      <c r="B33" s="1157"/>
      <c r="C33" s="1156"/>
      <c r="D33" s="68" t="s">
        <v>32</v>
      </c>
      <c r="E33" s="601">
        <v>0</v>
      </c>
    </row>
    <row r="34" spans="1:5" outlineLevel="2" x14ac:dyDescent="0.3">
      <c r="A34" s="1156"/>
      <c r="B34" s="1157"/>
      <c r="C34" s="1156"/>
      <c r="D34" s="68" t="s">
        <v>33</v>
      </c>
      <c r="E34" s="601">
        <v>0</v>
      </c>
    </row>
    <row r="35" spans="1:5" ht="15" outlineLevel="2" thickBot="1" x14ac:dyDescent="0.35">
      <c r="A35" s="1156"/>
      <c r="B35" s="1157"/>
      <c r="C35" s="1156"/>
      <c r="D35" s="69" t="s">
        <v>34</v>
      </c>
      <c r="E35" s="606">
        <v>0</v>
      </c>
    </row>
    <row r="36" spans="1:5" outlineLevel="2" x14ac:dyDescent="0.3">
      <c r="A36" s="1156" t="s">
        <v>84</v>
      </c>
      <c r="B36" s="1157" t="s">
        <v>78</v>
      </c>
      <c r="C36" s="1156" t="s">
        <v>347</v>
      </c>
      <c r="D36" s="67" t="s">
        <v>25</v>
      </c>
      <c r="E36" s="601">
        <f>(1+Faktory!$D$16)*26304</f>
        <v>31564.799999999999</v>
      </c>
    </row>
    <row r="37" spans="1:5" outlineLevel="2" x14ac:dyDescent="0.3">
      <c r="A37" s="1156"/>
      <c r="B37" s="1157"/>
      <c r="C37" s="1156"/>
      <c r="D37" s="68" t="s">
        <v>26</v>
      </c>
      <c r="E37" s="601">
        <f>E36</f>
        <v>31564.799999999999</v>
      </c>
    </row>
    <row r="38" spans="1:5" outlineLevel="2" x14ac:dyDescent="0.3">
      <c r="A38" s="1156"/>
      <c r="B38" s="1157"/>
      <c r="C38" s="1156"/>
      <c r="D38" s="68" t="s">
        <v>27</v>
      </c>
      <c r="E38" s="601">
        <f t="shared" ref="E38:E45" si="0">E37</f>
        <v>31564.799999999999</v>
      </c>
    </row>
    <row r="39" spans="1:5" outlineLevel="2" x14ac:dyDescent="0.3">
      <c r="A39" s="1156"/>
      <c r="B39" s="1157"/>
      <c r="C39" s="1156"/>
      <c r="D39" s="68" t="s">
        <v>28</v>
      </c>
      <c r="E39" s="601">
        <f t="shared" si="0"/>
        <v>31564.799999999999</v>
      </c>
    </row>
    <row r="40" spans="1:5" outlineLevel="2" x14ac:dyDescent="0.3">
      <c r="A40" s="1156"/>
      <c r="B40" s="1157"/>
      <c r="C40" s="1156"/>
      <c r="D40" s="68" t="s">
        <v>29</v>
      </c>
      <c r="E40" s="601">
        <f t="shared" si="0"/>
        <v>31564.799999999999</v>
      </c>
    </row>
    <row r="41" spans="1:5" outlineLevel="2" x14ac:dyDescent="0.3">
      <c r="A41" s="1156"/>
      <c r="B41" s="1157"/>
      <c r="C41" s="1156"/>
      <c r="D41" s="68" t="s">
        <v>30</v>
      </c>
      <c r="E41" s="601">
        <f t="shared" si="0"/>
        <v>31564.799999999999</v>
      </c>
    </row>
    <row r="42" spans="1:5" outlineLevel="2" x14ac:dyDescent="0.3">
      <c r="A42" s="1156"/>
      <c r="B42" s="1157"/>
      <c r="C42" s="1156"/>
      <c r="D42" s="68" t="s">
        <v>31</v>
      </c>
      <c r="E42" s="601">
        <f t="shared" si="0"/>
        <v>31564.799999999999</v>
      </c>
    </row>
    <row r="43" spans="1:5" outlineLevel="2" x14ac:dyDescent="0.3">
      <c r="A43" s="1156"/>
      <c r="B43" s="1157"/>
      <c r="C43" s="1156"/>
      <c r="D43" s="68" t="s">
        <v>32</v>
      </c>
      <c r="E43" s="601">
        <f t="shared" si="0"/>
        <v>31564.799999999999</v>
      </c>
    </row>
    <row r="44" spans="1:5" outlineLevel="2" x14ac:dyDescent="0.3">
      <c r="A44" s="1156"/>
      <c r="B44" s="1157"/>
      <c r="C44" s="1156"/>
      <c r="D44" s="68" t="s">
        <v>33</v>
      </c>
      <c r="E44" s="601">
        <f t="shared" si="0"/>
        <v>31564.799999999999</v>
      </c>
    </row>
    <row r="45" spans="1:5" ht="15" outlineLevel="2" thickBot="1" x14ac:dyDescent="0.35">
      <c r="A45" s="1156"/>
      <c r="B45" s="1157"/>
      <c r="C45" s="1156"/>
      <c r="D45" s="69" t="s">
        <v>34</v>
      </c>
      <c r="E45" s="606">
        <f t="shared" si="0"/>
        <v>31564.799999999999</v>
      </c>
    </row>
    <row r="46" spans="1:5" outlineLevel="2" x14ac:dyDescent="0.3">
      <c r="A46" s="1156" t="s">
        <v>85</v>
      </c>
      <c r="B46" s="1157" t="s">
        <v>73</v>
      </c>
      <c r="C46" s="1156" t="s">
        <v>346</v>
      </c>
      <c r="D46" s="67" t="s">
        <v>25</v>
      </c>
      <c r="E46" s="601">
        <v>0</v>
      </c>
    </row>
    <row r="47" spans="1:5" outlineLevel="2" x14ac:dyDescent="0.3">
      <c r="A47" s="1156"/>
      <c r="B47" s="1157"/>
      <c r="C47" s="1156"/>
      <c r="D47" s="68" t="s">
        <v>26</v>
      </c>
      <c r="E47" s="601">
        <v>0</v>
      </c>
    </row>
    <row r="48" spans="1:5" outlineLevel="2" x14ac:dyDescent="0.3">
      <c r="A48" s="1156"/>
      <c r="B48" s="1157"/>
      <c r="C48" s="1156"/>
      <c r="D48" s="68" t="s">
        <v>27</v>
      </c>
      <c r="E48" s="601">
        <v>0</v>
      </c>
    </row>
    <row r="49" spans="1:5" outlineLevel="2" x14ac:dyDescent="0.3">
      <c r="A49" s="1156"/>
      <c r="B49" s="1157"/>
      <c r="C49" s="1156"/>
      <c r="D49" s="68" t="s">
        <v>28</v>
      </c>
      <c r="E49" s="601">
        <v>0</v>
      </c>
    </row>
    <row r="50" spans="1:5" outlineLevel="2" x14ac:dyDescent="0.3">
      <c r="A50" s="1156"/>
      <c r="B50" s="1157"/>
      <c r="C50" s="1156"/>
      <c r="D50" s="68" t="s">
        <v>29</v>
      </c>
      <c r="E50" s="601">
        <v>0</v>
      </c>
    </row>
    <row r="51" spans="1:5" outlineLevel="2" x14ac:dyDescent="0.3">
      <c r="A51" s="1156"/>
      <c r="B51" s="1157"/>
      <c r="C51" s="1156"/>
      <c r="D51" s="68" t="s">
        <v>30</v>
      </c>
      <c r="E51" s="601">
        <v>0</v>
      </c>
    </row>
    <row r="52" spans="1:5" outlineLevel="2" x14ac:dyDescent="0.3">
      <c r="A52" s="1156"/>
      <c r="B52" s="1157"/>
      <c r="C52" s="1156"/>
      <c r="D52" s="68" t="s">
        <v>31</v>
      </c>
      <c r="E52" s="601">
        <v>0</v>
      </c>
    </row>
    <row r="53" spans="1:5" outlineLevel="2" x14ac:dyDescent="0.3">
      <c r="A53" s="1156"/>
      <c r="B53" s="1157"/>
      <c r="C53" s="1156"/>
      <c r="D53" s="68" t="s">
        <v>32</v>
      </c>
      <c r="E53" s="601">
        <v>0</v>
      </c>
    </row>
    <row r="54" spans="1:5" outlineLevel="2" x14ac:dyDescent="0.3">
      <c r="A54" s="1156"/>
      <c r="B54" s="1157"/>
      <c r="C54" s="1156"/>
      <c r="D54" s="68" t="s">
        <v>33</v>
      </c>
      <c r="E54" s="601">
        <v>0</v>
      </c>
    </row>
    <row r="55" spans="1:5" ht="15" outlineLevel="2" thickBot="1" x14ac:dyDescent="0.35">
      <c r="A55" s="1156"/>
      <c r="B55" s="1157"/>
      <c r="C55" s="1156"/>
      <c r="D55" s="69" t="s">
        <v>34</v>
      </c>
      <c r="E55" s="606">
        <v>0</v>
      </c>
    </row>
    <row r="56" spans="1:5" outlineLevel="2" x14ac:dyDescent="0.3">
      <c r="A56" s="1156" t="s">
        <v>86</v>
      </c>
      <c r="B56" s="1157" t="s">
        <v>87</v>
      </c>
      <c r="C56" s="1157"/>
      <c r="D56" s="67" t="s">
        <v>25</v>
      </c>
      <c r="E56" s="601">
        <v>0</v>
      </c>
    </row>
    <row r="57" spans="1:5" outlineLevel="2" x14ac:dyDescent="0.3">
      <c r="A57" s="1156"/>
      <c r="B57" s="1157"/>
      <c r="C57" s="1157"/>
      <c r="D57" s="68" t="s">
        <v>26</v>
      </c>
      <c r="E57" s="601">
        <v>0</v>
      </c>
    </row>
    <row r="58" spans="1:5" outlineLevel="2" x14ac:dyDescent="0.3">
      <c r="A58" s="1156"/>
      <c r="B58" s="1157"/>
      <c r="C58" s="1157"/>
      <c r="D58" s="68" t="s">
        <v>27</v>
      </c>
      <c r="E58" s="601">
        <v>0</v>
      </c>
    </row>
    <row r="59" spans="1:5" outlineLevel="2" x14ac:dyDescent="0.3">
      <c r="A59" s="1156"/>
      <c r="B59" s="1157"/>
      <c r="C59" s="1157"/>
      <c r="D59" s="68" t="s">
        <v>28</v>
      </c>
      <c r="E59" s="601">
        <v>0</v>
      </c>
    </row>
    <row r="60" spans="1:5" outlineLevel="2" x14ac:dyDescent="0.3">
      <c r="A60" s="1156"/>
      <c r="B60" s="1157"/>
      <c r="C60" s="1157"/>
      <c r="D60" s="68" t="s">
        <v>29</v>
      </c>
      <c r="E60" s="601">
        <v>0</v>
      </c>
    </row>
    <row r="61" spans="1:5" outlineLevel="2" x14ac:dyDescent="0.3">
      <c r="A61" s="1156"/>
      <c r="B61" s="1157"/>
      <c r="C61" s="1157"/>
      <c r="D61" s="68" t="s">
        <v>30</v>
      </c>
      <c r="E61" s="601">
        <v>0</v>
      </c>
    </row>
    <row r="62" spans="1:5" outlineLevel="2" x14ac:dyDescent="0.3">
      <c r="A62" s="1156"/>
      <c r="B62" s="1157"/>
      <c r="C62" s="1157"/>
      <c r="D62" s="68" t="s">
        <v>31</v>
      </c>
      <c r="E62" s="601">
        <v>0</v>
      </c>
    </row>
    <row r="63" spans="1:5" outlineLevel="2" x14ac:dyDescent="0.3">
      <c r="A63" s="1156"/>
      <c r="B63" s="1157"/>
      <c r="C63" s="1157"/>
      <c r="D63" s="68" t="s">
        <v>32</v>
      </c>
      <c r="E63" s="601">
        <v>0</v>
      </c>
    </row>
    <row r="64" spans="1:5" outlineLevel="2" x14ac:dyDescent="0.3">
      <c r="A64" s="1156"/>
      <c r="B64" s="1157"/>
      <c r="C64" s="1157"/>
      <c r="D64" s="68" t="s">
        <v>33</v>
      </c>
      <c r="E64" s="601">
        <v>0</v>
      </c>
    </row>
    <row r="65" spans="1:5" ht="15" outlineLevel="2" thickBot="1" x14ac:dyDescent="0.35">
      <c r="A65" s="1156"/>
      <c r="B65" s="1157"/>
      <c r="C65" s="1157"/>
      <c r="D65" s="69" t="s">
        <v>34</v>
      </c>
      <c r="E65" s="606">
        <v>0</v>
      </c>
    </row>
    <row r="66" spans="1:5" outlineLevel="2" x14ac:dyDescent="0.3">
      <c r="A66" s="1156" t="s">
        <v>77</v>
      </c>
      <c r="B66" s="1157" t="s">
        <v>78</v>
      </c>
      <c r="C66" s="1156" t="s">
        <v>344</v>
      </c>
      <c r="D66" s="67" t="s">
        <v>25</v>
      </c>
      <c r="E66" s="601">
        <v>0</v>
      </c>
    </row>
    <row r="67" spans="1:5" outlineLevel="2" x14ac:dyDescent="0.3">
      <c r="A67" s="1156"/>
      <c r="B67" s="1157"/>
      <c r="C67" s="1156"/>
      <c r="D67" s="68" t="s">
        <v>26</v>
      </c>
      <c r="E67" s="601">
        <v>0</v>
      </c>
    </row>
    <row r="68" spans="1:5" outlineLevel="2" x14ac:dyDescent="0.3">
      <c r="A68" s="1156"/>
      <c r="B68" s="1157"/>
      <c r="C68" s="1156"/>
      <c r="D68" s="68" t="s">
        <v>27</v>
      </c>
      <c r="E68" s="601">
        <v>0</v>
      </c>
    </row>
    <row r="69" spans="1:5" outlineLevel="2" x14ac:dyDescent="0.3">
      <c r="A69" s="1156"/>
      <c r="B69" s="1157"/>
      <c r="C69" s="1156"/>
      <c r="D69" s="68" t="s">
        <v>28</v>
      </c>
      <c r="E69" s="601">
        <v>0</v>
      </c>
    </row>
    <row r="70" spans="1:5" outlineLevel="2" x14ac:dyDescent="0.3">
      <c r="A70" s="1156"/>
      <c r="B70" s="1157"/>
      <c r="C70" s="1156"/>
      <c r="D70" s="68" t="s">
        <v>29</v>
      </c>
      <c r="E70" s="601">
        <v>0</v>
      </c>
    </row>
    <row r="71" spans="1:5" outlineLevel="2" x14ac:dyDescent="0.3">
      <c r="A71" s="1156"/>
      <c r="B71" s="1157"/>
      <c r="C71" s="1156"/>
      <c r="D71" s="68" t="s">
        <v>30</v>
      </c>
      <c r="E71" s="601">
        <v>0</v>
      </c>
    </row>
    <row r="72" spans="1:5" outlineLevel="2" x14ac:dyDescent="0.3">
      <c r="A72" s="1156"/>
      <c r="B72" s="1157"/>
      <c r="C72" s="1156"/>
      <c r="D72" s="68" t="s">
        <v>31</v>
      </c>
      <c r="E72" s="601">
        <v>0</v>
      </c>
    </row>
    <row r="73" spans="1:5" outlineLevel="2" x14ac:dyDescent="0.3">
      <c r="A73" s="1156"/>
      <c r="B73" s="1157"/>
      <c r="C73" s="1156"/>
      <c r="D73" s="68" t="s">
        <v>32</v>
      </c>
      <c r="E73" s="601">
        <v>0</v>
      </c>
    </row>
    <row r="74" spans="1:5" outlineLevel="2" x14ac:dyDescent="0.3">
      <c r="A74" s="1156"/>
      <c r="B74" s="1157"/>
      <c r="C74" s="1156"/>
      <c r="D74" s="68" t="s">
        <v>33</v>
      </c>
      <c r="E74" s="601">
        <v>0</v>
      </c>
    </row>
    <row r="75" spans="1:5" ht="15" outlineLevel="2" thickBot="1" x14ac:dyDescent="0.35">
      <c r="A75" s="1156"/>
      <c r="B75" s="1157"/>
      <c r="C75" s="1156"/>
      <c r="D75" s="69" t="s">
        <v>34</v>
      </c>
      <c r="E75" s="606">
        <v>0</v>
      </c>
    </row>
    <row r="77" spans="1:5" ht="30.6" customHeight="1" x14ac:dyDescent="0.3">
      <c r="A77" s="1158" t="s">
        <v>382</v>
      </c>
      <c r="B77" s="1158"/>
      <c r="C77" s="1158"/>
      <c r="D77" s="1158"/>
      <c r="E77" s="1158"/>
    </row>
  </sheetData>
  <mergeCells count="24">
    <mergeCell ref="A77:E77"/>
    <mergeCell ref="A56:A65"/>
    <mergeCell ref="B56:B65"/>
    <mergeCell ref="C56:C65"/>
    <mergeCell ref="A66:A75"/>
    <mergeCell ref="B66:B75"/>
    <mergeCell ref="C66:C75"/>
    <mergeCell ref="A36:A45"/>
    <mergeCell ref="B36:B45"/>
    <mergeCell ref="C36:C45"/>
    <mergeCell ref="A46:A55"/>
    <mergeCell ref="B46:B55"/>
    <mergeCell ref="C46:C55"/>
    <mergeCell ref="A15:A24"/>
    <mergeCell ref="B15:B24"/>
    <mergeCell ref="C15:C24"/>
    <mergeCell ref="A26:A35"/>
    <mergeCell ref="B26:B35"/>
    <mergeCell ref="C26:C35"/>
    <mergeCell ref="A1:D1"/>
    <mergeCell ref="A3:C3"/>
    <mergeCell ref="A5:A14"/>
    <mergeCell ref="B5:B14"/>
    <mergeCell ref="C5:C14"/>
  </mergeCells>
  <pageMargins left="0.7" right="0.7" top="0.75" bottom="0.75" header="0.3" footer="0.3"/>
  <pageSetup paperSize="9" scale="66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outlinePr summaryBelow="0" summaryRight="0"/>
  </sheetPr>
  <dimension ref="A1:E55"/>
  <sheetViews>
    <sheetView zoomScale="85" zoomScaleNormal="85" workbookViewId="0">
      <selection sqref="A1:D1"/>
    </sheetView>
  </sheetViews>
  <sheetFormatPr defaultColWidth="8.88671875" defaultRowHeight="14.4" outlineLevelRow="1" x14ac:dyDescent="0.3"/>
  <cols>
    <col min="1" max="1" width="22.44140625" customWidth="1"/>
    <col min="2" max="2" width="18.44140625" customWidth="1"/>
    <col min="3" max="3" width="16.88671875" customWidth="1"/>
    <col min="5" max="5" width="17.88671875" customWidth="1"/>
  </cols>
  <sheetData>
    <row r="1" spans="1:5" ht="25.35" customHeight="1" thickBot="1" x14ac:dyDescent="0.45">
      <c r="A1" s="1152" t="s">
        <v>641</v>
      </c>
      <c r="B1" s="1152"/>
      <c r="C1" s="1152"/>
      <c r="D1" s="1153"/>
      <c r="E1" s="70" t="s">
        <v>35</v>
      </c>
    </row>
    <row r="2" spans="1:5" ht="27" thickBot="1" x14ac:dyDescent="0.35">
      <c r="A2" s="40" t="s">
        <v>0</v>
      </c>
      <c r="B2" s="75" t="s">
        <v>75</v>
      </c>
      <c r="C2" s="75" t="s">
        <v>74</v>
      </c>
      <c r="D2" s="75" t="s">
        <v>23</v>
      </c>
      <c r="E2" s="17"/>
    </row>
    <row r="3" spans="1:5" ht="15" thickBot="1" x14ac:dyDescent="0.35">
      <c r="A3" s="1159" t="s">
        <v>89</v>
      </c>
      <c r="B3" s="1159"/>
      <c r="C3" s="1159"/>
      <c r="D3" s="76"/>
      <c r="E3" s="574">
        <f>SUM(E4:E53)</f>
        <v>0</v>
      </c>
    </row>
    <row r="4" spans="1:5" outlineLevel="1" x14ac:dyDescent="0.3">
      <c r="A4" s="1156" t="s">
        <v>94</v>
      </c>
      <c r="B4" s="1157" t="s">
        <v>81</v>
      </c>
      <c r="C4" s="1156" t="s">
        <v>365</v>
      </c>
      <c r="D4" s="67" t="s">
        <v>25</v>
      </c>
      <c r="E4" s="596">
        <v>0</v>
      </c>
    </row>
    <row r="5" spans="1:5" outlineLevel="1" x14ac:dyDescent="0.3">
      <c r="A5" s="1156"/>
      <c r="B5" s="1157"/>
      <c r="C5" s="1156"/>
      <c r="D5" s="68" t="s">
        <v>26</v>
      </c>
      <c r="E5" s="601">
        <v>0</v>
      </c>
    </row>
    <row r="6" spans="1:5" outlineLevel="1" x14ac:dyDescent="0.3">
      <c r="A6" s="1156"/>
      <c r="B6" s="1157"/>
      <c r="C6" s="1156"/>
      <c r="D6" s="68" t="s">
        <v>27</v>
      </c>
      <c r="E6" s="601">
        <v>0</v>
      </c>
    </row>
    <row r="7" spans="1:5" outlineLevel="1" x14ac:dyDescent="0.3">
      <c r="A7" s="1156"/>
      <c r="B7" s="1157"/>
      <c r="C7" s="1156"/>
      <c r="D7" s="68" t="s">
        <v>28</v>
      </c>
      <c r="E7" s="601">
        <v>0</v>
      </c>
    </row>
    <row r="8" spans="1:5" outlineLevel="1" x14ac:dyDescent="0.3">
      <c r="A8" s="1156"/>
      <c r="B8" s="1157"/>
      <c r="C8" s="1156"/>
      <c r="D8" s="68" t="s">
        <v>29</v>
      </c>
      <c r="E8" s="601">
        <v>0</v>
      </c>
    </row>
    <row r="9" spans="1:5" outlineLevel="1" x14ac:dyDescent="0.3">
      <c r="A9" s="1156"/>
      <c r="B9" s="1157"/>
      <c r="C9" s="1156"/>
      <c r="D9" s="68" t="s">
        <v>30</v>
      </c>
      <c r="E9" s="601">
        <v>0</v>
      </c>
    </row>
    <row r="10" spans="1:5" outlineLevel="1" x14ac:dyDescent="0.3">
      <c r="A10" s="1156"/>
      <c r="B10" s="1157"/>
      <c r="C10" s="1156"/>
      <c r="D10" s="68" t="s">
        <v>31</v>
      </c>
      <c r="E10" s="601">
        <v>0</v>
      </c>
    </row>
    <row r="11" spans="1:5" outlineLevel="1" x14ac:dyDescent="0.3">
      <c r="A11" s="1156"/>
      <c r="B11" s="1157"/>
      <c r="C11" s="1156"/>
      <c r="D11" s="68" t="s">
        <v>32</v>
      </c>
      <c r="E11" s="601">
        <v>0</v>
      </c>
    </row>
    <row r="12" spans="1:5" outlineLevel="1" x14ac:dyDescent="0.3">
      <c r="A12" s="1156"/>
      <c r="B12" s="1157"/>
      <c r="C12" s="1156"/>
      <c r="D12" s="68" t="s">
        <v>33</v>
      </c>
      <c r="E12" s="601">
        <v>0</v>
      </c>
    </row>
    <row r="13" spans="1:5" ht="15" outlineLevel="1" thickBot="1" x14ac:dyDescent="0.35">
      <c r="A13" s="1156"/>
      <c r="B13" s="1157"/>
      <c r="C13" s="1156"/>
      <c r="D13" s="69" t="s">
        <v>34</v>
      </c>
      <c r="E13" s="606">
        <v>0</v>
      </c>
    </row>
    <row r="14" spans="1:5" outlineLevel="1" x14ac:dyDescent="0.3">
      <c r="A14" s="1156" t="s">
        <v>95</v>
      </c>
      <c r="B14" s="1156" t="s">
        <v>93</v>
      </c>
      <c r="C14" s="1156" t="s">
        <v>366</v>
      </c>
      <c r="D14" s="67" t="s">
        <v>25</v>
      </c>
      <c r="E14" s="601">
        <v>0</v>
      </c>
    </row>
    <row r="15" spans="1:5" outlineLevel="1" x14ac:dyDescent="0.3">
      <c r="A15" s="1156"/>
      <c r="B15" s="1157"/>
      <c r="C15" s="1156"/>
      <c r="D15" s="68" t="s">
        <v>26</v>
      </c>
      <c r="E15" s="601">
        <v>0</v>
      </c>
    </row>
    <row r="16" spans="1:5" outlineLevel="1" x14ac:dyDescent="0.3">
      <c r="A16" s="1156"/>
      <c r="B16" s="1157"/>
      <c r="C16" s="1156"/>
      <c r="D16" s="68" t="s">
        <v>27</v>
      </c>
      <c r="E16" s="601">
        <v>0</v>
      </c>
    </row>
    <row r="17" spans="1:5" outlineLevel="1" x14ac:dyDescent="0.3">
      <c r="A17" s="1156"/>
      <c r="B17" s="1157"/>
      <c r="C17" s="1156"/>
      <c r="D17" s="68" t="s">
        <v>28</v>
      </c>
      <c r="E17" s="601">
        <v>0</v>
      </c>
    </row>
    <row r="18" spans="1:5" outlineLevel="1" x14ac:dyDescent="0.3">
      <c r="A18" s="1156"/>
      <c r="B18" s="1157"/>
      <c r="C18" s="1156"/>
      <c r="D18" s="68" t="s">
        <v>29</v>
      </c>
      <c r="E18" s="601">
        <v>0</v>
      </c>
    </row>
    <row r="19" spans="1:5" outlineLevel="1" x14ac:dyDescent="0.3">
      <c r="A19" s="1156"/>
      <c r="B19" s="1157"/>
      <c r="C19" s="1156"/>
      <c r="D19" s="68" t="s">
        <v>30</v>
      </c>
      <c r="E19" s="601">
        <v>0</v>
      </c>
    </row>
    <row r="20" spans="1:5" outlineLevel="1" x14ac:dyDescent="0.3">
      <c r="A20" s="1156"/>
      <c r="B20" s="1157"/>
      <c r="C20" s="1156"/>
      <c r="D20" s="68" t="s">
        <v>31</v>
      </c>
      <c r="E20" s="601">
        <v>0</v>
      </c>
    </row>
    <row r="21" spans="1:5" outlineLevel="1" x14ac:dyDescent="0.3">
      <c r="A21" s="1156"/>
      <c r="B21" s="1157"/>
      <c r="C21" s="1156"/>
      <c r="D21" s="68" t="s">
        <v>32</v>
      </c>
      <c r="E21" s="601">
        <v>0</v>
      </c>
    </row>
    <row r="22" spans="1:5" outlineLevel="1" x14ac:dyDescent="0.3">
      <c r="A22" s="1156"/>
      <c r="B22" s="1157"/>
      <c r="C22" s="1156"/>
      <c r="D22" s="68" t="s">
        <v>33</v>
      </c>
      <c r="E22" s="601">
        <v>0</v>
      </c>
    </row>
    <row r="23" spans="1:5" ht="15" outlineLevel="1" thickBot="1" x14ac:dyDescent="0.35">
      <c r="A23" s="1156"/>
      <c r="B23" s="1157"/>
      <c r="C23" s="1156"/>
      <c r="D23" s="69" t="s">
        <v>34</v>
      </c>
      <c r="E23" s="606">
        <v>0</v>
      </c>
    </row>
    <row r="24" spans="1:5" outlineLevel="1" x14ac:dyDescent="0.3">
      <c r="A24" s="1156" t="s">
        <v>96</v>
      </c>
      <c r="B24" s="1157"/>
      <c r="C24" s="1157"/>
      <c r="D24" s="67" t="s">
        <v>25</v>
      </c>
      <c r="E24" s="601">
        <v>0</v>
      </c>
    </row>
    <row r="25" spans="1:5" outlineLevel="1" x14ac:dyDescent="0.3">
      <c r="A25" s="1156"/>
      <c r="B25" s="1157"/>
      <c r="C25" s="1157"/>
      <c r="D25" s="68" t="s">
        <v>26</v>
      </c>
      <c r="E25" s="601">
        <v>0</v>
      </c>
    </row>
    <row r="26" spans="1:5" outlineLevel="1" x14ac:dyDescent="0.3">
      <c r="A26" s="1156"/>
      <c r="B26" s="1157"/>
      <c r="C26" s="1157"/>
      <c r="D26" s="68" t="s">
        <v>27</v>
      </c>
      <c r="E26" s="601">
        <v>0</v>
      </c>
    </row>
    <row r="27" spans="1:5" outlineLevel="1" x14ac:dyDescent="0.3">
      <c r="A27" s="1156"/>
      <c r="B27" s="1157"/>
      <c r="C27" s="1157"/>
      <c r="D27" s="68" t="s">
        <v>28</v>
      </c>
      <c r="E27" s="601">
        <v>0</v>
      </c>
    </row>
    <row r="28" spans="1:5" outlineLevel="1" x14ac:dyDescent="0.3">
      <c r="A28" s="1156"/>
      <c r="B28" s="1157"/>
      <c r="C28" s="1157"/>
      <c r="D28" s="68" t="s">
        <v>29</v>
      </c>
      <c r="E28" s="601">
        <v>0</v>
      </c>
    </row>
    <row r="29" spans="1:5" outlineLevel="1" x14ac:dyDescent="0.3">
      <c r="A29" s="1156"/>
      <c r="B29" s="1157"/>
      <c r="C29" s="1157"/>
      <c r="D29" s="68" t="s">
        <v>30</v>
      </c>
      <c r="E29" s="601">
        <v>0</v>
      </c>
    </row>
    <row r="30" spans="1:5" outlineLevel="1" x14ac:dyDescent="0.3">
      <c r="A30" s="1156"/>
      <c r="B30" s="1157"/>
      <c r="C30" s="1157"/>
      <c r="D30" s="68" t="s">
        <v>31</v>
      </c>
      <c r="E30" s="601">
        <v>0</v>
      </c>
    </row>
    <row r="31" spans="1:5" outlineLevel="1" x14ac:dyDescent="0.3">
      <c r="A31" s="1156"/>
      <c r="B31" s="1157"/>
      <c r="C31" s="1157"/>
      <c r="D31" s="68" t="s">
        <v>32</v>
      </c>
      <c r="E31" s="601">
        <v>0</v>
      </c>
    </row>
    <row r="32" spans="1:5" outlineLevel="1" x14ac:dyDescent="0.3">
      <c r="A32" s="1156"/>
      <c r="B32" s="1157"/>
      <c r="C32" s="1157"/>
      <c r="D32" s="68" t="s">
        <v>33</v>
      </c>
      <c r="E32" s="601">
        <v>0</v>
      </c>
    </row>
    <row r="33" spans="1:5" ht="15" outlineLevel="1" thickBot="1" x14ac:dyDescent="0.35">
      <c r="A33" s="1156"/>
      <c r="B33" s="1157"/>
      <c r="C33" s="1157"/>
      <c r="D33" s="69" t="s">
        <v>34</v>
      </c>
      <c r="E33" s="606">
        <v>0</v>
      </c>
    </row>
    <row r="34" spans="1:5" outlineLevel="1" x14ac:dyDescent="0.3">
      <c r="A34" s="1156" t="s">
        <v>97</v>
      </c>
      <c r="B34" s="1157"/>
      <c r="C34" s="1157"/>
      <c r="D34" s="67" t="s">
        <v>25</v>
      </c>
      <c r="E34" s="601">
        <v>0</v>
      </c>
    </row>
    <row r="35" spans="1:5" outlineLevel="1" x14ac:dyDescent="0.3">
      <c r="A35" s="1156"/>
      <c r="B35" s="1157"/>
      <c r="C35" s="1157"/>
      <c r="D35" s="68" t="s">
        <v>26</v>
      </c>
      <c r="E35" s="601">
        <v>0</v>
      </c>
    </row>
    <row r="36" spans="1:5" outlineLevel="1" x14ac:dyDescent="0.3">
      <c r="A36" s="1156"/>
      <c r="B36" s="1157"/>
      <c r="C36" s="1157"/>
      <c r="D36" s="68" t="s">
        <v>27</v>
      </c>
      <c r="E36" s="601">
        <v>0</v>
      </c>
    </row>
    <row r="37" spans="1:5" outlineLevel="1" x14ac:dyDescent="0.3">
      <c r="A37" s="1156"/>
      <c r="B37" s="1157"/>
      <c r="C37" s="1157"/>
      <c r="D37" s="68" t="s">
        <v>28</v>
      </c>
      <c r="E37" s="601">
        <v>0</v>
      </c>
    </row>
    <row r="38" spans="1:5" outlineLevel="1" x14ac:dyDescent="0.3">
      <c r="A38" s="1156"/>
      <c r="B38" s="1157"/>
      <c r="C38" s="1157"/>
      <c r="D38" s="68" t="s">
        <v>29</v>
      </c>
      <c r="E38" s="601">
        <v>0</v>
      </c>
    </row>
    <row r="39" spans="1:5" outlineLevel="1" x14ac:dyDescent="0.3">
      <c r="A39" s="1156"/>
      <c r="B39" s="1157"/>
      <c r="C39" s="1157"/>
      <c r="D39" s="68" t="s">
        <v>30</v>
      </c>
      <c r="E39" s="601">
        <v>0</v>
      </c>
    </row>
    <row r="40" spans="1:5" outlineLevel="1" x14ac:dyDescent="0.3">
      <c r="A40" s="1156"/>
      <c r="B40" s="1157"/>
      <c r="C40" s="1157"/>
      <c r="D40" s="68" t="s">
        <v>31</v>
      </c>
      <c r="E40" s="601">
        <v>0</v>
      </c>
    </row>
    <row r="41" spans="1:5" outlineLevel="1" x14ac:dyDescent="0.3">
      <c r="A41" s="1156"/>
      <c r="B41" s="1157"/>
      <c r="C41" s="1157"/>
      <c r="D41" s="68" t="s">
        <v>32</v>
      </c>
      <c r="E41" s="601">
        <v>0</v>
      </c>
    </row>
    <row r="42" spans="1:5" outlineLevel="1" x14ac:dyDescent="0.3">
      <c r="A42" s="1156"/>
      <c r="B42" s="1157"/>
      <c r="C42" s="1157"/>
      <c r="D42" s="68" t="s">
        <v>33</v>
      </c>
      <c r="E42" s="601">
        <v>0</v>
      </c>
    </row>
    <row r="43" spans="1:5" ht="15" outlineLevel="1" thickBot="1" x14ac:dyDescent="0.35">
      <c r="A43" s="1156"/>
      <c r="B43" s="1157"/>
      <c r="C43" s="1157"/>
      <c r="D43" s="69" t="s">
        <v>34</v>
      </c>
      <c r="E43" s="606">
        <v>0</v>
      </c>
    </row>
    <row r="44" spans="1:5" outlineLevel="1" x14ac:dyDescent="0.3">
      <c r="A44" s="1156" t="s">
        <v>92</v>
      </c>
      <c r="B44" s="1157" t="s">
        <v>78</v>
      </c>
      <c r="C44" s="1156" t="s">
        <v>344</v>
      </c>
      <c r="D44" s="67" t="s">
        <v>25</v>
      </c>
      <c r="E44" s="601">
        <v>0</v>
      </c>
    </row>
    <row r="45" spans="1:5" outlineLevel="1" x14ac:dyDescent="0.3">
      <c r="A45" s="1156"/>
      <c r="B45" s="1157"/>
      <c r="C45" s="1156"/>
      <c r="D45" s="68" t="s">
        <v>26</v>
      </c>
      <c r="E45" s="601">
        <v>0</v>
      </c>
    </row>
    <row r="46" spans="1:5" outlineLevel="1" x14ac:dyDescent="0.3">
      <c r="A46" s="1156"/>
      <c r="B46" s="1157"/>
      <c r="C46" s="1156"/>
      <c r="D46" s="68" t="s">
        <v>27</v>
      </c>
      <c r="E46" s="601">
        <v>0</v>
      </c>
    </row>
    <row r="47" spans="1:5" outlineLevel="1" x14ac:dyDescent="0.3">
      <c r="A47" s="1156"/>
      <c r="B47" s="1157"/>
      <c r="C47" s="1156"/>
      <c r="D47" s="68" t="s">
        <v>28</v>
      </c>
      <c r="E47" s="601">
        <v>0</v>
      </c>
    </row>
    <row r="48" spans="1:5" outlineLevel="1" x14ac:dyDescent="0.3">
      <c r="A48" s="1156"/>
      <c r="B48" s="1157"/>
      <c r="C48" s="1156"/>
      <c r="D48" s="68" t="s">
        <v>29</v>
      </c>
      <c r="E48" s="601">
        <v>0</v>
      </c>
    </row>
    <row r="49" spans="1:5" outlineLevel="1" x14ac:dyDescent="0.3">
      <c r="A49" s="1156"/>
      <c r="B49" s="1157"/>
      <c r="C49" s="1156"/>
      <c r="D49" s="68" t="s">
        <v>30</v>
      </c>
      <c r="E49" s="601">
        <v>0</v>
      </c>
    </row>
    <row r="50" spans="1:5" outlineLevel="1" x14ac:dyDescent="0.3">
      <c r="A50" s="1156"/>
      <c r="B50" s="1157"/>
      <c r="C50" s="1156"/>
      <c r="D50" s="68" t="s">
        <v>31</v>
      </c>
      <c r="E50" s="601">
        <v>0</v>
      </c>
    </row>
    <row r="51" spans="1:5" outlineLevel="1" x14ac:dyDescent="0.3">
      <c r="A51" s="1156"/>
      <c r="B51" s="1157"/>
      <c r="C51" s="1156"/>
      <c r="D51" s="68" t="s">
        <v>32</v>
      </c>
      <c r="E51" s="601">
        <v>0</v>
      </c>
    </row>
    <row r="52" spans="1:5" outlineLevel="1" x14ac:dyDescent="0.3">
      <c r="A52" s="1156"/>
      <c r="B52" s="1157"/>
      <c r="C52" s="1156"/>
      <c r="D52" s="68" t="s">
        <v>33</v>
      </c>
      <c r="E52" s="601">
        <v>0</v>
      </c>
    </row>
    <row r="53" spans="1:5" ht="15" outlineLevel="1" thickBot="1" x14ac:dyDescent="0.35">
      <c r="A53" s="1156"/>
      <c r="B53" s="1157"/>
      <c r="C53" s="1156"/>
      <c r="D53" s="69" t="s">
        <v>34</v>
      </c>
      <c r="E53" s="606">
        <v>0</v>
      </c>
    </row>
    <row r="55" spans="1:5" ht="28.2" customHeight="1" x14ac:dyDescent="0.3">
      <c r="A55" s="1158" t="s">
        <v>381</v>
      </c>
      <c r="B55" s="1158"/>
      <c r="C55" s="1158"/>
      <c r="D55" s="1158"/>
      <c r="E55" s="1158"/>
    </row>
  </sheetData>
  <mergeCells count="18">
    <mergeCell ref="A55:E55"/>
    <mergeCell ref="A34:A43"/>
    <mergeCell ref="B34:B43"/>
    <mergeCell ref="C34:C43"/>
    <mergeCell ref="A44:A53"/>
    <mergeCell ref="B44:B53"/>
    <mergeCell ref="C44:C53"/>
    <mergeCell ref="A14:A23"/>
    <mergeCell ref="B14:B23"/>
    <mergeCell ref="C14:C23"/>
    <mergeCell ref="A24:A33"/>
    <mergeCell ref="B24:B33"/>
    <mergeCell ref="C24:C33"/>
    <mergeCell ref="A1:D1"/>
    <mergeCell ref="A3:C3"/>
    <mergeCell ref="A4:A13"/>
    <mergeCell ref="B4:B13"/>
    <mergeCell ref="C4:C13"/>
  </mergeCells>
  <pageMargins left="0.7" right="0.7" top="0.75" bottom="0.75" header="0.3" footer="0.3"/>
  <pageSetup paperSize="9" scale="92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outlinePr summaryBelow="0" summaryRight="0"/>
  </sheetPr>
  <dimension ref="A1:K179"/>
  <sheetViews>
    <sheetView showGridLines="0" tabSelected="1" zoomScale="80" zoomScaleNormal="80" workbookViewId="0">
      <pane ySplit="2" topLeftCell="A150" activePane="bottomLeft" state="frozen"/>
      <selection pane="bottomLeft" activeCell="G179" sqref="G179"/>
    </sheetView>
  </sheetViews>
  <sheetFormatPr defaultColWidth="8.88671875" defaultRowHeight="14.4" outlineLevelRow="2" outlineLevelCol="1" x14ac:dyDescent="0.3"/>
  <cols>
    <col min="1" max="1" width="6.5546875" style="562" customWidth="1"/>
    <col min="2" max="2" width="22.44140625" customWidth="1"/>
    <col min="3" max="3" width="23.33203125" customWidth="1"/>
    <col min="4" max="4" width="22.44140625" customWidth="1"/>
    <col min="5" max="5" width="13.6640625" customWidth="1"/>
    <col min="6" max="6" width="14.5546875" customWidth="1"/>
    <col min="7" max="7" width="13" customWidth="1" outlineLevel="1"/>
    <col min="8" max="8" width="14.33203125" customWidth="1" outlineLevel="1"/>
    <col min="9" max="9" width="12.33203125" customWidth="1" outlineLevel="1"/>
    <col min="10" max="10" width="10.6640625" customWidth="1" outlineLevel="1"/>
    <col min="11" max="11" width="13.6640625" customWidth="1" outlineLevel="1"/>
    <col min="12" max="12" width="13.5546875" customWidth="1"/>
  </cols>
  <sheetData>
    <row r="1" spans="1:11" ht="65.400000000000006" customHeight="1" thickBot="1" x14ac:dyDescent="0.45">
      <c r="B1" s="1152" t="s">
        <v>642</v>
      </c>
      <c r="C1" s="1152"/>
      <c r="D1" s="1152"/>
      <c r="E1" s="1153"/>
      <c r="F1" s="543" t="s">
        <v>35</v>
      </c>
      <c r="G1" s="978" t="str">
        <f>'Rozpočet - vývoj Aplikácií'!A4</f>
        <v>Interný agendový informačný systém KSED</v>
      </c>
      <c r="H1" s="544" t="str">
        <f>'Rozpočet - vývoj Aplikácií'!$C$60</f>
        <v>2. Mobilný Agendový informačný systém KSED</v>
      </c>
      <c r="I1" s="544" t="str">
        <f>'Rozpočet - vývoj Aplikácií'!$C$66</f>
        <v>3. Verejný portál KSED</v>
      </c>
      <c r="J1" s="544" t="str">
        <f>'Rozpočet - vývoj Aplikácií'!$C$73</f>
        <v>4. Mobilná aplikácia Podnety</v>
      </c>
      <c r="K1" s="544" t="str">
        <f>'Rozpočet - vývoj Aplikácií'!C79</f>
        <v>5. Integračné rozhrania a spoločné funkcionality</v>
      </c>
    </row>
    <row r="2" spans="1:11" ht="15" thickBot="1" x14ac:dyDescent="0.35">
      <c r="B2" s="40" t="s">
        <v>0</v>
      </c>
      <c r="C2" s="75" t="s">
        <v>75</v>
      </c>
      <c r="D2" s="75" t="s">
        <v>74</v>
      </c>
      <c r="E2" s="75" t="s">
        <v>23</v>
      </c>
      <c r="F2" s="17"/>
      <c r="G2" s="17"/>
      <c r="H2" s="17"/>
      <c r="I2" s="17"/>
      <c r="J2" s="17"/>
      <c r="K2" s="17"/>
    </row>
    <row r="3" spans="1:11" ht="15" thickBot="1" x14ac:dyDescent="0.35">
      <c r="A3" s="562" t="s">
        <v>329</v>
      </c>
      <c r="B3" s="1160" t="s">
        <v>116</v>
      </c>
      <c r="C3" s="1161"/>
      <c r="D3" s="1161"/>
      <c r="E3" s="78"/>
      <c r="F3" s="77">
        <f t="shared" ref="F3:K3" si="0">F4+F25</f>
        <v>7821887.2200000025</v>
      </c>
      <c r="G3" s="575">
        <f t="shared" si="0"/>
        <v>6625674.7200000025</v>
      </c>
      <c r="H3" s="575">
        <f t="shared" si="0"/>
        <v>286366.5</v>
      </c>
      <c r="I3" s="576">
        <f t="shared" si="0"/>
        <v>259686</v>
      </c>
      <c r="J3" s="576">
        <f t="shared" si="0"/>
        <v>16632</v>
      </c>
      <c r="K3" s="576">
        <f t="shared" si="0"/>
        <v>633528</v>
      </c>
    </row>
    <row r="4" spans="1:11" ht="15" outlineLevel="1" thickBot="1" x14ac:dyDescent="0.35">
      <c r="A4" s="562" t="s">
        <v>330</v>
      </c>
      <c r="B4" s="17" t="s">
        <v>104</v>
      </c>
      <c r="C4" s="17"/>
      <c r="D4" s="17"/>
      <c r="E4" s="28"/>
      <c r="F4" s="77">
        <f t="shared" ref="F4:K4" si="1">SUM(F5:F24)</f>
        <v>0</v>
      </c>
      <c r="G4" s="575">
        <f t="shared" si="1"/>
        <v>0</v>
      </c>
      <c r="H4" s="575">
        <f t="shared" si="1"/>
        <v>0</v>
      </c>
      <c r="I4" s="576">
        <f t="shared" si="1"/>
        <v>0</v>
      </c>
      <c r="J4" s="576">
        <f t="shared" si="1"/>
        <v>0</v>
      </c>
      <c r="K4" s="577">
        <f t="shared" si="1"/>
        <v>0</v>
      </c>
    </row>
    <row r="5" spans="1:11" outlineLevel="2" x14ac:dyDescent="0.3">
      <c r="A5" s="1163" t="s">
        <v>348</v>
      </c>
      <c r="B5" s="1156" t="s">
        <v>72</v>
      </c>
      <c r="C5" s="1157" t="s">
        <v>73</v>
      </c>
      <c r="D5" s="1157" t="s">
        <v>342</v>
      </c>
      <c r="E5" s="67" t="s">
        <v>25</v>
      </c>
      <c r="F5" s="64">
        <f t="shared" ref="F5:F24" si="2">SUM(G5:K5)</f>
        <v>0</v>
      </c>
      <c r="G5" s="579">
        <v>0</v>
      </c>
      <c r="H5" s="580">
        <v>0</v>
      </c>
      <c r="I5" s="581">
        <v>0</v>
      </c>
      <c r="J5" s="581">
        <v>0</v>
      </c>
      <c r="K5" s="582">
        <v>0</v>
      </c>
    </row>
    <row r="6" spans="1:11" outlineLevel="2" x14ac:dyDescent="0.3">
      <c r="A6" s="1163"/>
      <c r="B6" s="1156"/>
      <c r="C6" s="1157"/>
      <c r="D6" s="1157"/>
      <c r="E6" s="68" t="s">
        <v>26</v>
      </c>
      <c r="F6" s="65">
        <f t="shared" si="2"/>
        <v>0</v>
      </c>
      <c r="G6" s="584">
        <v>0</v>
      </c>
      <c r="H6" s="585">
        <v>0</v>
      </c>
      <c r="I6" s="586">
        <v>0</v>
      </c>
      <c r="J6" s="586">
        <v>0</v>
      </c>
      <c r="K6" s="587">
        <v>0</v>
      </c>
    </row>
    <row r="7" spans="1:11" outlineLevel="2" x14ac:dyDescent="0.3">
      <c r="A7" s="1163"/>
      <c r="B7" s="1156"/>
      <c r="C7" s="1157"/>
      <c r="D7" s="1157"/>
      <c r="E7" s="68" t="s">
        <v>27</v>
      </c>
      <c r="F7" s="65">
        <f t="shared" si="2"/>
        <v>0</v>
      </c>
      <c r="G7" s="584">
        <v>0</v>
      </c>
      <c r="H7" s="585">
        <v>0</v>
      </c>
      <c r="I7" s="586">
        <v>0</v>
      </c>
      <c r="J7" s="586">
        <v>0</v>
      </c>
      <c r="K7" s="587">
        <v>0</v>
      </c>
    </row>
    <row r="8" spans="1:11" outlineLevel="2" x14ac:dyDescent="0.3">
      <c r="A8" s="1163"/>
      <c r="B8" s="1156"/>
      <c r="C8" s="1157"/>
      <c r="D8" s="1157"/>
      <c r="E8" s="68" t="s">
        <v>28</v>
      </c>
      <c r="F8" s="65">
        <f t="shared" si="2"/>
        <v>0</v>
      </c>
      <c r="G8" s="584">
        <v>0</v>
      </c>
      <c r="H8" s="585">
        <v>0</v>
      </c>
      <c r="I8" s="586">
        <v>0</v>
      </c>
      <c r="J8" s="586">
        <v>0</v>
      </c>
      <c r="K8" s="587">
        <v>0</v>
      </c>
    </row>
    <row r="9" spans="1:11" outlineLevel="2" x14ac:dyDescent="0.3">
      <c r="A9" s="1163"/>
      <c r="B9" s="1156"/>
      <c r="C9" s="1157"/>
      <c r="D9" s="1157"/>
      <c r="E9" s="68" t="s">
        <v>29</v>
      </c>
      <c r="F9" s="65">
        <f t="shared" si="2"/>
        <v>0</v>
      </c>
      <c r="G9" s="584">
        <v>0</v>
      </c>
      <c r="H9" s="585">
        <v>0</v>
      </c>
      <c r="I9" s="586">
        <v>0</v>
      </c>
      <c r="J9" s="586">
        <v>0</v>
      </c>
      <c r="K9" s="587">
        <v>0</v>
      </c>
    </row>
    <row r="10" spans="1:11" outlineLevel="2" x14ac:dyDescent="0.3">
      <c r="A10" s="1163"/>
      <c r="B10" s="1156"/>
      <c r="C10" s="1157"/>
      <c r="D10" s="1157"/>
      <c r="E10" s="68" t="s">
        <v>30</v>
      </c>
      <c r="F10" s="65">
        <f t="shared" si="2"/>
        <v>0</v>
      </c>
      <c r="G10" s="584">
        <v>0</v>
      </c>
      <c r="H10" s="585">
        <v>0</v>
      </c>
      <c r="I10" s="586">
        <v>0</v>
      </c>
      <c r="J10" s="586">
        <v>0</v>
      </c>
      <c r="K10" s="587">
        <v>0</v>
      </c>
    </row>
    <row r="11" spans="1:11" outlineLevel="2" x14ac:dyDescent="0.3">
      <c r="A11" s="1163"/>
      <c r="B11" s="1156"/>
      <c r="C11" s="1157"/>
      <c r="D11" s="1157"/>
      <c r="E11" s="68" t="s">
        <v>31</v>
      </c>
      <c r="F11" s="65">
        <f t="shared" si="2"/>
        <v>0</v>
      </c>
      <c r="G11" s="584">
        <v>0</v>
      </c>
      <c r="H11" s="585">
        <v>0</v>
      </c>
      <c r="I11" s="586">
        <v>0</v>
      </c>
      <c r="J11" s="586">
        <v>0</v>
      </c>
      <c r="K11" s="587">
        <v>0</v>
      </c>
    </row>
    <row r="12" spans="1:11" outlineLevel="2" x14ac:dyDescent="0.3">
      <c r="A12" s="1163"/>
      <c r="B12" s="1156"/>
      <c r="C12" s="1157"/>
      <c r="D12" s="1157"/>
      <c r="E12" s="68" t="s">
        <v>32</v>
      </c>
      <c r="F12" s="65">
        <f t="shared" si="2"/>
        <v>0</v>
      </c>
      <c r="G12" s="584">
        <v>0</v>
      </c>
      <c r="H12" s="585">
        <v>0</v>
      </c>
      <c r="I12" s="586">
        <v>0</v>
      </c>
      <c r="J12" s="586">
        <v>0</v>
      </c>
      <c r="K12" s="587">
        <v>0</v>
      </c>
    </row>
    <row r="13" spans="1:11" outlineLevel="2" x14ac:dyDescent="0.3">
      <c r="A13" s="1163"/>
      <c r="B13" s="1156"/>
      <c r="C13" s="1157"/>
      <c r="D13" s="1157"/>
      <c r="E13" s="68" t="s">
        <v>33</v>
      </c>
      <c r="F13" s="65">
        <f t="shared" si="2"/>
        <v>0</v>
      </c>
      <c r="G13" s="584">
        <v>0</v>
      </c>
      <c r="H13" s="585">
        <v>0</v>
      </c>
      <c r="I13" s="586">
        <v>0</v>
      </c>
      <c r="J13" s="586">
        <v>0</v>
      </c>
      <c r="K13" s="587">
        <v>0</v>
      </c>
    </row>
    <row r="14" spans="1:11" ht="15" outlineLevel="2" thickBot="1" x14ac:dyDescent="0.35">
      <c r="A14" s="1163"/>
      <c r="B14" s="1156"/>
      <c r="C14" s="1157"/>
      <c r="D14" s="1157"/>
      <c r="E14" s="69" t="s">
        <v>34</v>
      </c>
      <c r="F14" s="65">
        <f t="shared" si="2"/>
        <v>0</v>
      </c>
      <c r="G14" s="588">
        <v>0</v>
      </c>
      <c r="H14" s="589">
        <v>0</v>
      </c>
      <c r="I14" s="590">
        <v>0</v>
      </c>
      <c r="J14" s="590">
        <v>0</v>
      </c>
      <c r="K14" s="591">
        <v>0</v>
      </c>
    </row>
    <row r="15" spans="1:11" outlineLevel="2" x14ac:dyDescent="0.3">
      <c r="A15" s="1163" t="s">
        <v>349</v>
      </c>
      <c r="B15" s="1156" t="s">
        <v>72</v>
      </c>
      <c r="C15" s="1157" t="s">
        <v>78</v>
      </c>
      <c r="D15" s="1157" t="s">
        <v>343</v>
      </c>
      <c r="E15" s="67" t="s">
        <v>25</v>
      </c>
      <c r="F15" s="64">
        <f t="shared" si="2"/>
        <v>0</v>
      </c>
      <c r="G15" s="579">
        <v>0</v>
      </c>
      <c r="H15" s="580">
        <v>0</v>
      </c>
      <c r="I15" s="581">
        <v>0</v>
      </c>
      <c r="J15" s="581">
        <v>0</v>
      </c>
      <c r="K15" s="582">
        <v>0</v>
      </c>
    </row>
    <row r="16" spans="1:11" outlineLevel="2" x14ac:dyDescent="0.3">
      <c r="A16" s="1163"/>
      <c r="B16" s="1156"/>
      <c r="C16" s="1157"/>
      <c r="D16" s="1157"/>
      <c r="E16" s="68" t="s">
        <v>26</v>
      </c>
      <c r="F16" s="65">
        <f t="shared" si="2"/>
        <v>0</v>
      </c>
      <c r="G16" s="584">
        <v>0</v>
      </c>
      <c r="H16" s="585">
        <v>0</v>
      </c>
      <c r="I16" s="586">
        <v>0</v>
      </c>
      <c r="J16" s="586">
        <v>0</v>
      </c>
      <c r="K16" s="587">
        <v>0</v>
      </c>
    </row>
    <row r="17" spans="1:11" outlineLevel="2" x14ac:dyDescent="0.3">
      <c r="A17" s="1163"/>
      <c r="B17" s="1156"/>
      <c r="C17" s="1157"/>
      <c r="D17" s="1157"/>
      <c r="E17" s="68" t="s">
        <v>27</v>
      </c>
      <c r="F17" s="65">
        <f t="shared" si="2"/>
        <v>0</v>
      </c>
      <c r="G17" s="584">
        <v>0</v>
      </c>
      <c r="H17" s="585">
        <v>0</v>
      </c>
      <c r="I17" s="586">
        <v>0</v>
      </c>
      <c r="J17" s="586">
        <v>0</v>
      </c>
      <c r="K17" s="587">
        <v>0</v>
      </c>
    </row>
    <row r="18" spans="1:11" outlineLevel="2" x14ac:dyDescent="0.3">
      <c r="A18" s="1163"/>
      <c r="B18" s="1156"/>
      <c r="C18" s="1157"/>
      <c r="D18" s="1157"/>
      <c r="E18" s="68" t="s">
        <v>28</v>
      </c>
      <c r="F18" s="65">
        <f t="shared" si="2"/>
        <v>0</v>
      </c>
      <c r="G18" s="584">
        <v>0</v>
      </c>
      <c r="H18" s="585">
        <v>0</v>
      </c>
      <c r="I18" s="586">
        <v>0</v>
      </c>
      <c r="J18" s="586">
        <v>0</v>
      </c>
      <c r="K18" s="587">
        <v>0</v>
      </c>
    </row>
    <row r="19" spans="1:11" outlineLevel="2" x14ac:dyDescent="0.3">
      <c r="A19" s="1163"/>
      <c r="B19" s="1156"/>
      <c r="C19" s="1157"/>
      <c r="D19" s="1157"/>
      <c r="E19" s="68" t="s">
        <v>29</v>
      </c>
      <c r="F19" s="65">
        <f t="shared" si="2"/>
        <v>0</v>
      </c>
      <c r="G19" s="584">
        <v>0</v>
      </c>
      <c r="H19" s="585">
        <v>0</v>
      </c>
      <c r="I19" s="586">
        <v>0</v>
      </c>
      <c r="J19" s="586">
        <v>0</v>
      </c>
      <c r="K19" s="587">
        <v>0</v>
      </c>
    </row>
    <row r="20" spans="1:11" outlineLevel="2" x14ac:dyDescent="0.3">
      <c r="A20" s="1163"/>
      <c r="B20" s="1156"/>
      <c r="C20" s="1157"/>
      <c r="D20" s="1157"/>
      <c r="E20" s="68" t="s">
        <v>30</v>
      </c>
      <c r="F20" s="65">
        <f t="shared" si="2"/>
        <v>0</v>
      </c>
      <c r="G20" s="584">
        <v>0</v>
      </c>
      <c r="H20" s="585">
        <v>0</v>
      </c>
      <c r="I20" s="586">
        <v>0</v>
      </c>
      <c r="J20" s="586">
        <v>0</v>
      </c>
      <c r="K20" s="587">
        <v>0</v>
      </c>
    </row>
    <row r="21" spans="1:11" outlineLevel="2" x14ac:dyDescent="0.3">
      <c r="A21" s="1163"/>
      <c r="B21" s="1156"/>
      <c r="C21" s="1157"/>
      <c r="D21" s="1157"/>
      <c r="E21" s="68" t="s">
        <v>31</v>
      </c>
      <c r="F21" s="65">
        <f t="shared" si="2"/>
        <v>0</v>
      </c>
      <c r="G21" s="584">
        <v>0</v>
      </c>
      <c r="H21" s="585">
        <v>0</v>
      </c>
      <c r="I21" s="586">
        <v>0</v>
      </c>
      <c r="J21" s="586">
        <v>0</v>
      </c>
      <c r="K21" s="587">
        <v>0</v>
      </c>
    </row>
    <row r="22" spans="1:11" outlineLevel="2" x14ac:dyDescent="0.3">
      <c r="A22" s="1163"/>
      <c r="B22" s="1156"/>
      <c r="C22" s="1157"/>
      <c r="D22" s="1157"/>
      <c r="E22" s="68" t="s">
        <v>32</v>
      </c>
      <c r="F22" s="65">
        <f t="shared" si="2"/>
        <v>0</v>
      </c>
      <c r="G22" s="584">
        <v>0</v>
      </c>
      <c r="H22" s="585">
        <v>0</v>
      </c>
      <c r="I22" s="586">
        <v>0</v>
      </c>
      <c r="J22" s="586">
        <v>0</v>
      </c>
      <c r="K22" s="587">
        <v>0</v>
      </c>
    </row>
    <row r="23" spans="1:11" outlineLevel="2" x14ac:dyDescent="0.3">
      <c r="A23" s="1163"/>
      <c r="B23" s="1156"/>
      <c r="C23" s="1157"/>
      <c r="D23" s="1157"/>
      <c r="E23" s="68" t="s">
        <v>33</v>
      </c>
      <c r="F23" s="65">
        <f t="shared" si="2"/>
        <v>0</v>
      </c>
      <c r="G23" s="584">
        <v>0</v>
      </c>
      <c r="H23" s="585">
        <v>0</v>
      </c>
      <c r="I23" s="586">
        <v>0</v>
      </c>
      <c r="J23" s="586">
        <v>0</v>
      </c>
      <c r="K23" s="587">
        <v>0</v>
      </c>
    </row>
    <row r="24" spans="1:11" ht="15" outlineLevel="2" thickBot="1" x14ac:dyDescent="0.35">
      <c r="A24" s="1163"/>
      <c r="B24" s="1156"/>
      <c r="C24" s="1157"/>
      <c r="D24" s="1157"/>
      <c r="E24" s="69" t="s">
        <v>34</v>
      </c>
      <c r="F24" s="66">
        <f t="shared" si="2"/>
        <v>0</v>
      </c>
      <c r="G24" s="588">
        <v>0</v>
      </c>
      <c r="H24" s="589">
        <v>0</v>
      </c>
      <c r="I24" s="590">
        <v>0</v>
      </c>
      <c r="J24" s="590">
        <v>0</v>
      </c>
      <c r="K24" s="591">
        <v>0</v>
      </c>
    </row>
    <row r="25" spans="1:11" ht="15" outlineLevel="1" thickBot="1" x14ac:dyDescent="0.35">
      <c r="A25" s="562" t="s">
        <v>331</v>
      </c>
      <c r="B25" s="17" t="s">
        <v>105</v>
      </c>
      <c r="C25" s="17"/>
      <c r="D25" s="17"/>
      <c r="E25" s="28"/>
      <c r="F25" s="115">
        <f>SUM(F26:F55)</f>
        <v>7821887.2200000025</v>
      </c>
      <c r="G25" s="593">
        <f t="shared" ref="G25:K25" si="3">SUM(G26:G55)</f>
        <v>6625674.7200000025</v>
      </c>
      <c r="H25" s="593">
        <f t="shared" si="3"/>
        <v>286366.5</v>
      </c>
      <c r="I25" s="594">
        <f t="shared" si="3"/>
        <v>259686</v>
      </c>
      <c r="J25" s="594">
        <f t="shared" si="3"/>
        <v>16632</v>
      </c>
      <c r="K25" s="595">
        <f t="shared" si="3"/>
        <v>633528</v>
      </c>
    </row>
    <row r="26" spans="1:11" outlineLevel="2" x14ac:dyDescent="0.3">
      <c r="A26" s="1163" t="s">
        <v>350</v>
      </c>
      <c r="B26" s="1156" t="s">
        <v>76</v>
      </c>
      <c r="C26" s="1157" t="s">
        <v>73</v>
      </c>
      <c r="D26" s="1157" t="s">
        <v>342</v>
      </c>
      <c r="E26" s="67" t="s">
        <v>25</v>
      </c>
      <c r="F26" s="71">
        <f t="shared" ref="F26:F55" si="4">SUM(G26:K26)</f>
        <v>2825267.7600000002</v>
      </c>
      <c r="G26" s="597">
        <f>SUM('Rozpočet - vývoj Aplikácií'!AQ5:AQ59)*(1+G$179)</f>
        <v>2351759.7600000002</v>
      </c>
      <c r="H26" s="599">
        <f>SUM('Rozpočet - vývoj Aplikácií'!AP61:AQ65)*(1+H$179)</f>
        <v>151893</v>
      </c>
      <c r="I26" s="599">
        <f>SUM('Rozpočet - vývoj Aplikácií'!$AP$67:$AQ$72)*(1+I$179)</f>
        <v>51408</v>
      </c>
      <c r="J26" s="599">
        <f>SUM('Rozpočet - vývoj Aplikácií'!AP74:AQ78)*(1+J$179)</f>
        <v>0</v>
      </c>
      <c r="K26" s="600">
        <f>SUM('Rozpočet - vývoj Aplikácií'!AQ80:AQ86)*(1+K$179)</f>
        <v>270207</v>
      </c>
    </row>
    <row r="27" spans="1:11" outlineLevel="2" x14ac:dyDescent="0.3">
      <c r="A27" s="1163"/>
      <c r="B27" s="1156"/>
      <c r="C27" s="1157"/>
      <c r="D27" s="1157"/>
      <c r="E27" s="68" t="s">
        <v>26</v>
      </c>
      <c r="F27" s="72">
        <f t="shared" si="4"/>
        <v>4951889.4600000018</v>
      </c>
      <c r="G27" s="602">
        <f>SUM('Rozpočet - vývoj Aplikácií'!AX5:AX59)*(1+G$179)</f>
        <v>4229184.9600000018</v>
      </c>
      <c r="H27" s="603">
        <f>SUM('Rozpočet - vývoj Aplikácií'!AW61:AX65)*(1+H$179)</f>
        <v>134473.5</v>
      </c>
      <c r="I27" s="604">
        <f>SUM('Rozpočet - vývoj Aplikácií'!$AW$67:$AX$72)*(1+I$179)</f>
        <v>208278</v>
      </c>
      <c r="J27" s="604">
        <f>SUM('Rozpočet - vývoj Aplikácií'!AW74:AX78)*(1+J$179)</f>
        <v>16632</v>
      </c>
      <c r="K27" s="605">
        <f>SUM('Rozpočet - vývoj Aplikácií'!AX80:AX86)*(1+K$179)</f>
        <v>363321</v>
      </c>
    </row>
    <row r="28" spans="1:11" outlineLevel="2" x14ac:dyDescent="0.3">
      <c r="A28" s="1163"/>
      <c r="B28" s="1156"/>
      <c r="C28" s="1157"/>
      <c r="D28" s="1157"/>
      <c r="E28" s="68" t="s">
        <v>27</v>
      </c>
      <c r="F28" s="72">
        <f t="shared" si="4"/>
        <v>0</v>
      </c>
      <c r="G28" s="602">
        <v>0</v>
      </c>
      <c r="H28" s="603">
        <v>0</v>
      </c>
      <c r="I28" s="604">
        <v>0</v>
      </c>
      <c r="J28" s="604">
        <v>0</v>
      </c>
      <c r="K28" s="605">
        <v>0</v>
      </c>
    </row>
    <row r="29" spans="1:11" outlineLevel="2" x14ac:dyDescent="0.3">
      <c r="A29" s="1163"/>
      <c r="B29" s="1156"/>
      <c r="C29" s="1157"/>
      <c r="D29" s="1157"/>
      <c r="E29" s="68" t="s">
        <v>28</v>
      </c>
      <c r="F29" s="72">
        <f t="shared" si="4"/>
        <v>0</v>
      </c>
      <c r="G29" s="602">
        <v>0</v>
      </c>
      <c r="H29" s="603">
        <v>0</v>
      </c>
      <c r="I29" s="604">
        <v>0</v>
      </c>
      <c r="J29" s="604">
        <v>0</v>
      </c>
      <c r="K29" s="605">
        <v>0</v>
      </c>
    </row>
    <row r="30" spans="1:11" outlineLevel="2" x14ac:dyDescent="0.3">
      <c r="A30" s="1163"/>
      <c r="B30" s="1156"/>
      <c r="C30" s="1157"/>
      <c r="D30" s="1157"/>
      <c r="E30" s="68" t="s">
        <v>29</v>
      </c>
      <c r="F30" s="72">
        <f t="shared" si="4"/>
        <v>0</v>
      </c>
      <c r="G30" s="602">
        <v>0</v>
      </c>
      <c r="H30" s="603">
        <v>0</v>
      </c>
      <c r="I30" s="604">
        <v>0</v>
      </c>
      <c r="J30" s="604">
        <v>0</v>
      </c>
      <c r="K30" s="605">
        <v>0</v>
      </c>
    </row>
    <row r="31" spans="1:11" outlineLevel="2" x14ac:dyDescent="0.3">
      <c r="A31" s="1163"/>
      <c r="B31" s="1156"/>
      <c r="C31" s="1157"/>
      <c r="D31" s="1157"/>
      <c r="E31" s="68" t="s">
        <v>30</v>
      </c>
      <c r="F31" s="72">
        <f t="shared" si="4"/>
        <v>0</v>
      </c>
      <c r="G31" s="602">
        <v>0</v>
      </c>
      <c r="H31" s="603">
        <v>0</v>
      </c>
      <c r="I31" s="604">
        <v>0</v>
      </c>
      <c r="J31" s="604">
        <v>0</v>
      </c>
      <c r="K31" s="605">
        <v>0</v>
      </c>
    </row>
    <row r="32" spans="1:11" outlineLevel="2" x14ac:dyDescent="0.3">
      <c r="A32" s="1163"/>
      <c r="B32" s="1156"/>
      <c r="C32" s="1157"/>
      <c r="D32" s="1157"/>
      <c r="E32" s="68" t="s">
        <v>31</v>
      </c>
      <c r="F32" s="72">
        <f t="shared" si="4"/>
        <v>0</v>
      </c>
      <c r="G32" s="602">
        <v>0</v>
      </c>
      <c r="H32" s="603">
        <v>0</v>
      </c>
      <c r="I32" s="604">
        <v>0</v>
      </c>
      <c r="J32" s="604">
        <v>0</v>
      </c>
      <c r="K32" s="605">
        <v>0</v>
      </c>
    </row>
    <row r="33" spans="1:11" outlineLevel="2" x14ac:dyDescent="0.3">
      <c r="A33" s="1163"/>
      <c r="B33" s="1156"/>
      <c r="C33" s="1157"/>
      <c r="D33" s="1157"/>
      <c r="E33" s="68" t="s">
        <v>32</v>
      </c>
      <c r="F33" s="72">
        <f t="shared" si="4"/>
        <v>0</v>
      </c>
      <c r="G33" s="602">
        <v>0</v>
      </c>
      <c r="H33" s="603">
        <v>0</v>
      </c>
      <c r="I33" s="604">
        <v>0</v>
      </c>
      <c r="J33" s="604">
        <v>0</v>
      </c>
      <c r="K33" s="605">
        <v>0</v>
      </c>
    </row>
    <row r="34" spans="1:11" outlineLevel="2" x14ac:dyDescent="0.3">
      <c r="A34" s="1163"/>
      <c r="B34" s="1156"/>
      <c r="C34" s="1157"/>
      <c r="D34" s="1157"/>
      <c r="E34" s="68" t="s">
        <v>33</v>
      </c>
      <c r="F34" s="72">
        <f t="shared" si="4"/>
        <v>0</v>
      </c>
      <c r="G34" s="602">
        <v>0</v>
      </c>
      <c r="H34" s="603">
        <v>0</v>
      </c>
      <c r="I34" s="604">
        <v>0</v>
      </c>
      <c r="J34" s="604">
        <v>0</v>
      </c>
      <c r="K34" s="605">
        <v>0</v>
      </c>
    </row>
    <row r="35" spans="1:11" ht="15" outlineLevel="2" thickBot="1" x14ac:dyDescent="0.35">
      <c r="A35" s="1163"/>
      <c r="B35" s="1156"/>
      <c r="C35" s="1157"/>
      <c r="D35" s="1157"/>
      <c r="E35" s="69" t="s">
        <v>34</v>
      </c>
      <c r="F35" s="73">
        <f t="shared" si="4"/>
        <v>0</v>
      </c>
      <c r="G35" s="607">
        <v>0</v>
      </c>
      <c r="H35" s="608">
        <v>0</v>
      </c>
      <c r="I35" s="609">
        <v>0</v>
      </c>
      <c r="J35" s="609">
        <v>0</v>
      </c>
      <c r="K35" s="610">
        <v>0</v>
      </c>
    </row>
    <row r="36" spans="1:11" outlineLevel="2" x14ac:dyDescent="0.3">
      <c r="A36" s="1163" t="s">
        <v>351</v>
      </c>
      <c r="B36" s="1156" t="s">
        <v>76</v>
      </c>
      <c r="C36" s="1157" t="s">
        <v>78</v>
      </c>
      <c r="D36" s="1157" t="s">
        <v>343</v>
      </c>
      <c r="E36" s="67" t="s">
        <v>25</v>
      </c>
      <c r="F36" s="72">
        <f t="shared" si="4"/>
        <v>0</v>
      </c>
      <c r="G36" s="597">
        <v>0</v>
      </c>
      <c r="H36" s="598">
        <v>0</v>
      </c>
      <c r="I36" s="599">
        <v>0</v>
      </c>
      <c r="J36" s="599">
        <v>0</v>
      </c>
      <c r="K36" s="600">
        <v>0</v>
      </c>
    </row>
    <row r="37" spans="1:11" outlineLevel="2" x14ac:dyDescent="0.3">
      <c r="A37" s="1163"/>
      <c r="B37" s="1156"/>
      <c r="C37" s="1157"/>
      <c r="D37" s="1157"/>
      <c r="E37" s="68" t="s">
        <v>26</v>
      </c>
      <c r="F37" s="72">
        <f t="shared" si="4"/>
        <v>0</v>
      </c>
      <c r="G37" s="602">
        <v>0</v>
      </c>
      <c r="H37" s="603">
        <v>0</v>
      </c>
      <c r="I37" s="604">
        <v>0</v>
      </c>
      <c r="J37" s="604">
        <v>0</v>
      </c>
      <c r="K37" s="605">
        <v>0</v>
      </c>
    </row>
    <row r="38" spans="1:11" outlineLevel="2" x14ac:dyDescent="0.3">
      <c r="A38" s="1163"/>
      <c r="B38" s="1156"/>
      <c r="C38" s="1157"/>
      <c r="D38" s="1157"/>
      <c r="E38" s="68" t="s">
        <v>27</v>
      </c>
      <c r="F38" s="72">
        <f t="shared" si="4"/>
        <v>0</v>
      </c>
      <c r="G38" s="602">
        <v>0</v>
      </c>
      <c r="H38" s="603">
        <v>0</v>
      </c>
      <c r="I38" s="604">
        <v>0</v>
      </c>
      <c r="J38" s="604">
        <v>0</v>
      </c>
      <c r="K38" s="605">
        <v>0</v>
      </c>
    </row>
    <row r="39" spans="1:11" outlineLevel="2" x14ac:dyDescent="0.3">
      <c r="A39" s="1163"/>
      <c r="B39" s="1156"/>
      <c r="C39" s="1157"/>
      <c r="D39" s="1157"/>
      <c r="E39" s="68" t="s">
        <v>28</v>
      </c>
      <c r="F39" s="72">
        <f t="shared" si="4"/>
        <v>0</v>
      </c>
      <c r="G39" s="602">
        <v>0</v>
      </c>
      <c r="H39" s="603">
        <v>0</v>
      </c>
      <c r="I39" s="604">
        <v>0</v>
      </c>
      <c r="J39" s="604">
        <v>0</v>
      </c>
      <c r="K39" s="605">
        <v>0</v>
      </c>
    </row>
    <row r="40" spans="1:11" outlineLevel="2" x14ac:dyDescent="0.3">
      <c r="A40" s="1163"/>
      <c r="B40" s="1156"/>
      <c r="C40" s="1157"/>
      <c r="D40" s="1157"/>
      <c r="E40" s="68" t="s">
        <v>29</v>
      </c>
      <c r="F40" s="72">
        <f t="shared" si="4"/>
        <v>0</v>
      </c>
      <c r="G40" s="602">
        <v>0</v>
      </c>
      <c r="H40" s="603">
        <v>0</v>
      </c>
      <c r="I40" s="604">
        <v>0</v>
      </c>
      <c r="J40" s="604">
        <v>0</v>
      </c>
      <c r="K40" s="605">
        <v>0</v>
      </c>
    </row>
    <row r="41" spans="1:11" outlineLevel="2" x14ac:dyDescent="0.3">
      <c r="A41" s="1163"/>
      <c r="B41" s="1156"/>
      <c r="C41" s="1157"/>
      <c r="D41" s="1157"/>
      <c r="E41" s="68" t="s">
        <v>30</v>
      </c>
      <c r="F41" s="72">
        <f t="shared" si="4"/>
        <v>0</v>
      </c>
      <c r="G41" s="602">
        <v>0</v>
      </c>
      <c r="H41" s="603">
        <v>0</v>
      </c>
      <c r="I41" s="604">
        <v>0</v>
      </c>
      <c r="J41" s="604">
        <v>0</v>
      </c>
      <c r="K41" s="605">
        <v>0</v>
      </c>
    </row>
    <row r="42" spans="1:11" outlineLevel="2" x14ac:dyDescent="0.3">
      <c r="A42" s="1163"/>
      <c r="B42" s="1156"/>
      <c r="C42" s="1157"/>
      <c r="D42" s="1157"/>
      <c r="E42" s="68" t="s">
        <v>31</v>
      </c>
      <c r="F42" s="72">
        <f t="shared" si="4"/>
        <v>0</v>
      </c>
      <c r="G42" s="602">
        <v>0</v>
      </c>
      <c r="H42" s="603">
        <v>0</v>
      </c>
      <c r="I42" s="604">
        <v>0</v>
      </c>
      <c r="J42" s="604">
        <v>0</v>
      </c>
      <c r="K42" s="605">
        <v>0</v>
      </c>
    </row>
    <row r="43" spans="1:11" outlineLevel="2" x14ac:dyDescent="0.3">
      <c r="A43" s="1163"/>
      <c r="B43" s="1156"/>
      <c r="C43" s="1157"/>
      <c r="D43" s="1157"/>
      <c r="E43" s="68" t="s">
        <v>32</v>
      </c>
      <c r="F43" s="72">
        <f t="shared" si="4"/>
        <v>0</v>
      </c>
      <c r="G43" s="602">
        <v>0</v>
      </c>
      <c r="H43" s="603">
        <v>0</v>
      </c>
      <c r="I43" s="604">
        <v>0</v>
      </c>
      <c r="J43" s="604">
        <v>0</v>
      </c>
      <c r="K43" s="605">
        <v>0</v>
      </c>
    </row>
    <row r="44" spans="1:11" outlineLevel="2" x14ac:dyDescent="0.3">
      <c r="A44" s="1163"/>
      <c r="B44" s="1156"/>
      <c r="C44" s="1157"/>
      <c r="D44" s="1157"/>
      <c r="E44" s="68" t="s">
        <v>33</v>
      </c>
      <c r="F44" s="72">
        <f t="shared" si="4"/>
        <v>0</v>
      </c>
      <c r="G44" s="602">
        <v>0</v>
      </c>
      <c r="H44" s="603">
        <v>0</v>
      </c>
      <c r="I44" s="604">
        <v>0</v>
      </c>
      <c r="J44" s="604">
        <v>0</v>
      </c>
      <c r="K44" s="605">
        <v>0</v>
      </c>
    </row>
    <row r="45" spans="1:11" ht="15" outlineLevel="2" thickBot="1" x14ac:dyDescent="0.35">
      <c r="A45" s="1163"/>
      <c r="B45" s="1156"/>
      <c r="C45" s="1157"/>
      <c r="D45" s="1157"/>
      <c r="E45" s="69" t="s">
        <v>34</v>
      </c>
      <c r="F45" s="73">
        <f t="shared" si="4"/>
        <v>0</v>
      </c>
      <c r="G45" s="607">
        <v>0</v>
      </c>
      <c r="H45" s="608">
        <v>0</v>
      </c>
      <c r="I45" s="609">
        <v>0</v>
      </c>
      <c r="J45" s="609">
        <v>0</v>
      </c>
      <c r="K45" s="610">
        <v>0</v>
      </c>
    </row>
    <row r="46" spans="1:11" outlineLevel="2" x14ac:dyDescent="0.3">
      <c r="A46" s="1163" t="s">
        <v>352</v>
      </c>
      <c r="B46" s="1156" t="s">
        <v>77</v>
      </c>
      <c r="C46" s="1157" t="s">
        <v>78</v>
      </c>
      <c r="D46" s="1156" t="s">
        <v>344</v>
      </c>
      <c r="E46" s="67" t="s">
        <v>25</v>
      </c>
      <c r="F46" s="72">
        <f t="shared" si="4"/>
        <v>0</v>
      </c>
      <c r="G46" s="597">
        <v>0</v>
      </c>
      <c r="H46" s="598">
        <v>0</v>
      </c>
      <c r="I46" s="599">
        <v>0</v>
      </c>
      <c r="J46" s="599">
        <v>0</v>
      </c>
      <c r="K46" s="600">
        <v>0</v>
      </c>
    </row>
    <row r="47" spans="1:11" outlineLevel="2" x14ac:dyDescent="0.3">
      <c r="A47" s="1163"/>
      <c r="B47" s="1156"/>
      <c r="C47" s="1157"/>
      <c r="D47" s="1156"/>
      <c r="E47" s="68" t="s">
        <v>26</v>
      </c>
      <c r="F47" s="72">
        <f t="shared" si="4"/>
        <v>44730</v>
      </c>
      <c r="G47" s="602">
        <f>'Rozpočet - vývoj Aplikácií'!AX87</f>
        <v>44730</v>
      </c>
      <c r="H47" s="603">
        <v>0</v>
      </c>
      <c r="I47" s="604">
        <v>0</v>
      </c>
      <c r="J47" s="604">
        <v>0</v>
      </c>
      <c r="K47" s="605">
        <v>0</v>
      </c>
    </row>
    <row r="48" spans="1:11" outlineLevel="2" x14ac:dyDescent="0.3">
      <c r="A48" s="1163"/>
      <c r="B48" s="1156"/>
      <c r="C48" s="1157"/>
      <c r="D48" s="1156"/>
      <c r="E48" s="68" t="s">
        <v>27</v>
      </c>
      <c r="F48" s="72">
        <f t="shared" si="4"/>
        <v>0</v>
      </c>
      <c r="G48" s="602">
        <v>0</v>
      </c>
      <c r="H48" s="603">
        <v>0</v>
      </c>
      <c r="I48" s="604">
        <v>0</v>
      </c>
      <c r="J48" s="604">
        <v>0</v>
      </c>
      <c r="K48" s="605">
        <v>0</v>
      </c>
    </row>
    <row r="49" spans="1:11" outlineLevel="2" x14ac:dyDescent="0.3">
      <c r="A49" s="1163"/>
      <c r="B49" s="1156"/>
      <c r="C49" s="1157"/>
      <c r="D49" s="1156"/>
      <c r="E49" s="68" t="s">
        <v>28</v>
      </c>
      <c r="F49" s="72">
        <f t="shared" si="4"/>
        <v>0</v>
      </c>
      <c r="G49" s="602">
        <v>0</v>
      </c>
      <c r="H49" s="603">
        <v>0</v>
      </c>
      <c r="I49" s="604">
        <v>0</v>
      </c>
      <c r="J49" s="604">
        <v>0</v>
      </c>
      <c r="K49" s="605">
        <v>0</v>
      </c>
    </row>
    <row r="50" spans="1:11" outlineLevel="2" x14ac:dyDescent="0.3">
      <c r="A50" s="1163"/>
      <c r="B50" s="1156"/>
      <c r="C50" s="1157"/>
      <c r="D50" s="1156"/>
      <c r="E50" s="68" t="s">
        <v>29</v>
      </c>
      <c r="F50" s="72">
        <f t="shared" si="4"/>
        <v>0</v>
      </c>
      <c r="G50" s="602">
        <v>0</v>
      </c>
      <c r="H50" s="603">
        <v>0</v>
      </c>
      <c r="I50" s="604">
        <v>0</v>
      </c>
      <c r="J50" s="604">
        <v>0</v>
      </c>
      <c r="K50" s="605">
        <v>0</v>
      </c>
    </row>
    <row r="51" spans="1:11" outlineLevel="2" x14ac:dyDescent="0.3">
      <c r="A51" s="1163"/>
      <c r="B51" s="1156"/>
      <c r="C51" s="1157"/>
      <c r="D51" s="1156"/>
      <c r="E51" s="68" t="s">
        <v>30</v>
      </c>
      <c r="F51" s="72">
        <f t="shared" si="4"/>
        <v>0</v>
      </c>
      <c r="G51" s="602">
        <v>0</v>
      </c>
      <c r="H51" s="603">
        <v>0</v>
      </c>
      <c r="I51" s="604">
        <v>0</v>
      </c>
      <c r="J51" s="604">
        <v>0</v>
      </c>
      <c r="K51" s="605">
        <v>0</v>
      </c>
    </row>
    <row r="52" spans="1:11" outlineLevel="2" x14ac:dyDescent="0.3">
      <c r="A52" s="1163"/>
      <c r="B52" s="1156"/>
      <c r="C52" s="1157"/>
      <c r="D52" s="1156"/>
      <c r="E52" s="68" t="s">
        <v>31</v>
      </c>
      <c r="F52" s="72">
        <f t="shared" si="4"/>
        <v>0</v>
      </c>
      <c r="G52" s="602">
        <v>0</v>
      </c>
      <c r="H52" s="603">
        <v>0</v>
      </c>
      <c r="I52" s="604">
        <v>0</v>
      </c>
      <c r="J52" s="604">
        <v>0</v>
      </c>
      <c r="K52" s="605">
        <v>0</v>
      </c>
    </row>
    <row r="53" spans="1:11" outlineLevel="2" x14ac:dyDescent="0.3">
      <c r="A53" s="1163"/>
      <c r="B53" s="1156"/>
      <c r="C53" s="1157"/>
      <c r="D53" s="1156"/>
      <c r="E53" s="68" t="s">
        <v>32</v>
      </c>
      <c r="F53" s="72">
        <f t="shared" si="4"/>
        <v>0</v>
      </c>
      <c r="G53" s="602">
        <v>0</v>
      </c>
      <c r="H53" s="603">
        <v>0</v>
      </c>
      <c r="I53" s="604">
        <v>0</v>
      </c>
      <c r="J53" s="604">
        <v>0</v>
      </c>
      <c r="K53" s="605">
        <v>0</v>
      </c>
    </row>
    <row r="54" spans="1:11" outlineLevel="2" x14ac:dyDescent="0.3">
      <c r="A54" s="1163"/>
      <c r="B54" s="1156"/>
      <c r="C54" s="1157"/>
      <c r="D54" s="1156"/>
      <c r="E54" s="68" t="s">
        <v>33</v>
      </c>
      <c r="F54" s="72">
        <f t="shared" si="4"/>
        <v>0</v>
      </c>
      <c r="G54" s="602">
        <v>0</v>
      </c>
      <c r="H54" s="603">
        <v>0</v>
      </c>
      <c r="I54" s="604">
        <v>0</v>
      </c>
      <c r="J54" s="604">
        <v>0</v>
      </c>
      <c r="K54" s="605">
        <v>0</v>
      </c>
    </row>
    <row r="55" spans="1:11" ht="15" outlineLevel="2" thickBot="1" x14ac:dyDescent="0.35">
      <c r="A55" s="1163"/>
      <c r="B55" s="1156"/>
      <c r="C55" s="1157"/>
      <c r="D55" s="1156"/>
      <c r="E55" s="68" t="s">
        <v>34</v>
      </c>
      <c r="F55" s="73">
        <f t="shared" si="4"/>
        <v>0</v>
      </c>
      <c r="G55" s="607">
        <v>0</v>
      </c>
      <c r="H55" s="608">
        <v>0</v>
      </c>
      <c r="I55" s="609">
        <v>0</v>
      </c>
      <c r="J55" s="609">
        <v>0</v>
      </c>
      <c r="K55" s="610">
        <v>0</v>
      </c>
    </row>
    <row r="56" spans="1:11" ht="15" thickBot="1" x14ac:dyDescent="0.35">
      <c r="A56" s="562" t="s">
        <v>332</v>
      </c>
      <c r="B56" s="1154" t="s">
        <v>79</v>
      </c>
      <c r="C56" s="1155"/>
      <c r="D56" s="1155"/>
      <c r="E56" s="79"/>
      <c r="F56" s="77">
        <f t="shared" ref="F56:K56" si="5">F57+F78</f>
        <v>4743732.4080000008</v>
      </c>
      <c r="G56" s="575">
        <f t="shared" si="5"/>
        <v>4222664.5040962808</v>
      </c>
      <c r="H56" s="575">
        <f t="shared" si="5"/>
        <v>124740.70610635211</v>
      </c>
      <c r="I56" s="576">
        <f t="shared" si="5"/>
        <v>113118.7307381771</v>
      </c>
      <c r="J56" s="576">
        <f t="shared" si="5"/>
        <v>7244.8677619793161</v>
      </c>
      <c r="K56" s="577">
        <f t="shared" si="5"/>
        <v>275963.59929721215</v>
      </c>
    </row>
    <row r="57" spans="1:11" ht="15" outlineLevel="1" thickBot="1" x14ac:dyDescent="0.35">
      <c r="A57" s="562" t="s">
        <v>333</v>
      </c>
      <c r="B57" s="17" t="s">
        <v>104</v>
      </c>
      <c r="C57" s="17"/>
      <c r="D57" s="17"/>
      <c r="E57" s="28"/>
      <c r="F57" s="113">
        <f t="shared" ref="F57:K57" si="6">SUM(F58:F77)</f>
        <v>0</v>
      </c>
      <c r="G57" s="612">
        <f t="shared" si="6"/>
        <v>0</v>
      </c>
      <c r="H57" s="612">
        <f t="shared" si="6"/>
        <v>0</v>
      </c>
      <c r="I57" s="613">
        <f t="shared" si="6"/>
        <v>0</v>
      </c>
      <c r="J57" s="613">
        <f t="shared" si="6"/>
        <v>0</v>
      </c>
      <c r="K57" s="614">
        <f t="shared" si="6"/>
        <v>0</v>
      </c>
    </row>
    <row r="58" spans="1:11" outlineLevel="2" x14ac:dyDescent="0.3">
      <c r="A58" s="1163" t="s">
        <v>353</v>
      </c>
      <c r="B58" s="1156" t="s">
        <v>80</v>
      </c>
      <c r="C58" s="1157" t="s">
        <v>81</v>
      </c>
      <c r="D58" s="1156" t="s">
        <v>345</v>
      </c>
      <c r="E58" s="67" t="s">
        <v>25</v>
      </c>
      <c r="F58" s="64">
        <f t="shared" ref="F58:F77" si="7">SUM(G58:K58)</f>
        <v>0</v>
      </c>
      <c r="G58" s="579">
        <v>0</v>
      </c>
      <c r="H58" s="580">
        <v>0</v>
      </c>
      <c r="I58" s="580">
        <v>0</v>
      </c>
      <c r="J58" s="581">
        <v>0</v>
      </c>
      <c r="K58" s="582">
        <v>0</v>
      </c>
    </row>
    <row r="59" spans="1:11" outlineLevel="2" x14ac:dyDescent="0.3">
      <c r="A59" s="1163"/>
      <c r="B59" s="1156"/>
      <c r="C59" s="1157"/>
      <c r="D59" s="1156"/>
      <c r="E59" s="68" t="s">
        <v>26</v>
      </c>
      <c r="F59" s="65">
        <f t="shared" si="7"/>
        <v>0</v>
      </c>
      <c r="G59" s="584">
        <v>0</v>
      </c>
      <c r="H59" s="585">
        <v>0</v>
      </c>
      <c r="I59" s="585">
        <v>0</v>
      </c>
      <c r="J59" s="586">
        <v>0</v>
      </c>
      <c r="K59" s="587">
        <v>0</v>
      </c>
    </row>
    <row r="60" spans="1:11" outlineLevel="2" x14ac:dyDescent="0.3">
      <c r="A60" s="1163"/>
      <c r="B60" s="1156"/>
      <c r="C60" s="1157"/>
      <c r="D60" s="1156"/>
      <c r="E60" s="68" t="s">
        <v>27</v>
      </c>
      <c r="F60" s="65">
        <f t="shared" si="7"/>
        <v>0</v>
      </c>
      <c r="G60" s="584">
        <v>0</v>
      </c>
      <c r="H60" s="585">
        <v>0</v>
      </c>
      <c r="I60" s="585">
        <v>0</v>
      </c>
      <c r="J60" s="586">
        <v>0</v>
      </c>
      <c r="K60" s="587">
        <v>0</v>
      </c>
    </row>
    <row r="61" spans="1:11" outlineLevel="2" x14ac:dyDescent="0.3">
      <c r="A61" s="1163"/>
      <c r="B61" s="1156"/>
      <c r="C61" s="1157"/>
      <c r="D61" s="1156"/>
      <c r="E61" s="68" t="s">
        <v>28</v>
      </c>
      <c r="F61" s="65">
        <f t="shared" si="7"/>
        <v>0</v>
      </c>
      <c r="G61" s="584">
        <v>0</v>
      </c>
      <c r="H61" s="585">
        <v>0</v>
      </c>
      <c r="I61" s="585">
        <v>0</v>
      </c>
      <c r="J61" s="586">
        <v>0</v>
      </c>
      <c r="K61" s="587">
        <v>0</v>
      </c>
    </row>
    <row r="62" spans="1:11" outlineLevel="2" x14ac:dyDescent="0.3">
      <c r="A62" s="1163"/>
      <c r="B62" s="1156"/>
      <c r="C62" s="1157"/>
      <c r="D62" s="1156"/>
      <c r="E62" s="68" t="s">
        <v>29</v>
      </c>
      <c r="F62" s="65">
        <f t="shared" si="7"/>
        <v>0</v>
      </c>
      <c r="G62" s="584">
        <v>0</v>
      </c>
      <c r="H62" s="585">
        <v>0</v>
      </c>
      <c r="I62" s="585">
        <v>0</v>
      </c>
      <c r="J62" s="586">
        <v>0</v>
      </c>
      <c r="K62" s="587">
        <v>0</v>
      </c>
    </row>
    <row r="63" spans="1:11" outlineLevel="2" x14ac:dyDescent="0.3">
      <c r="A63" s="1163"/>
      <c r="B63" s="1156"/>
      <c r="C63" s="1157"/>
      <c r="D63" s="1156"/>
      <c r="E63" s="68" t="s">
        <v>30</v>
      </c>
      <c r="F63" s="65">
        <f t="shared" si="7"/>
        <v>0</v>
      </c>
      <c r="G63" s="584">
        <v>0</v>
      </c>
      <c r="H63" s="585">
        <v>0</v>
      </c>
      <c r="I63" s="585">
        <v>0</v>
      </c>
      <c r="J63" s="586">
        <v>0</v>
      </c>
      <c r="K63" s="587">
        <v>0</v>
      </c>
    </row>
    <row r="64" spans="1:11" outlineLevel="2" x14ac:dyDescent="0.3">
      <c r="A64" s="1163"/>
      <c r="B64" s="1156"/>
      <c r="C64" s="1157"/>
      <c r="D64" s="1156"/>
      <c r="E64" s="68" t="s">
        <v>31</v>
      </c>
      <c r="F64" s="65">
        <f t="shared" si="7"/>
        <v>0</v>
      </c>
      <c r="G64" s="584">
        <v>0</v>
      </c>
      <c r="H64" s="585">
        <v>0</v>
      </c>
      <c r="I64" s="585">
        <v>0</v>
      </c>
      <c r="J64" s="586">
        <v>0</v>
      </c>
      <c r="K64" s="587">
        <v>0</v>
      </c>
    </row>
    <row r="65" spans="1:11" outlineLevel="2" x14ac:dyDescent="0.3">
      <c r="A65" s="1163"/>
      <c r="B65" s="1156"/>
      <c r="C65" s="1157"/>
      <c r="D65" s="1156"/>
      <c r="E65" s="68" t="s">
        <v>32</v>
      </c>
      <c r="F65" s="65">
        <f t="shared" si="7"/>
        <v>0</v>
      </c>
      <c r="G65" s="584">
        <v>0</v>
      </c>
      <c r="H65" s="585">
        <v>0</v>
      </c>
      <c r="I65" s="585">
        <v>0</v>
      </c>
      <c r="J65" s="586">
        <v>0</v>
      </c>
      <c r="K65" s="587">
        <v>0</v>
      </c>
    </row>
    <row r="66" spans="1:11" outlineLevel="2" x14ac:dyDescent="0.3">
      <c r="A66" s="1163"/>
      <c r="B66" s="1156"/>
      <c r="C66" s="1157"/>
      <c r="D66" s="1156"/>
      <c r="E66" s="68" t="s">
        <v>33</v>
      </c>
      <c r="F66" s="65">
        <f t="shared" si="7"/>
        <v>0</v>
      </c>
      <c r="G66" s="584">
        <v>0</v>
      </c>
      <c r="H66" s="585">
        <v>0</v>
      </c>
      <c r="I66" s="585">
        <v>0</v>
      </c>
      <c r="J66" s="586">
        <v>0</v>
      </c>
      <c r="K66" s="587">
        <v>0</v>
      </c>
    </row>
    <row r="67" spans="1:11" ht="15" outlineLevel="2" thickBot="1" x14ac:dyDescent="0.35">
      <c r="A67" s="1163"/>
      <c r="B67" s="1156"/>
      <c r="C67" s="1157"/>
      <c r="D67" s="1156"/>
      <c r="E67" s="69" t="s">
        <v>34</v>
      </c>
      <c r="F67" s="66">
        <f t="shared" si="7"/>
        <v>0</v>
      </c>
      <c r="G67" s="588">
        <v>0</v>
      </c>
      <c r="H67" s="589">
        <v>0</v>
      </c>
      <c r="I67" s="589">
        <v>0</v>
      </c>
      <c r="J67" s="590">
        <v>0</v>
      </c>
      <c r="K67" s="591">
        <v>0</v>
      </c>
    </row>
    <row r="68" spans="1:11" outlineLevel="2" x14ac:dyDescent="0.3">
      <c r="A68" s="1163" t="s">
        <v>354</v>
      </c>
      <c r="B68" s="1156" t="s">
        <v>82</v>
      </c>
      <c r="C68" s="1157" t="s">
        <v>73</v>
      </c>
      <c r="D68" s="1156" t="s">
        <v>346</v>
      </c>
      <c r="E68" s="67" t="s">
        <v>25</v>
      </c>
      <c r="F68" s="65">
        <f t="shared" si="7"/>
        <v>0</v>
      </c>
      <c r="G68" s="579">
        <v>0</v>
      </c>
      <c r="H68" s="580">
        <v>0</v>
      </c>
      <c r="I68" s="581">
        <v>0</v>
      </c>
      <c r="J68" s="581">
        <v>0</v>
      </c>
      <c r="K68" s="582">
        <v>0</v>
      </c>
    </row>
    <row r="69" spans="1:11" outlineLevel="2" x14ac:dyDescent="0.3">
      <c r="A69" s="1163"/>
      <c r="B69" s="1156"/>
      <c r="C69" s="1157"/>
      <c r="D69" s="1156"/>
      <c r="E69" s="68" t="s">
        <v>26</v>
      </c>
      <c r="F69" s="65">
        <f t="shared" si="7"/>
        <v>0</v>
      </c>
      <c r="G69" s="584">
        <v>0</v>
      </c>
      <c r="H69" s="585">
        <v>0</v>
      </c>
      <c r="I69" s="586">
        <v>0</v>
      </c>
      <c r="J69" s="586">
        <v>0</v>
      </c>
      <c r="K69" s="587">
        <v>0</v>
      </c>
    </row>
    <row r="70" spans="1:11" outlineLevel="2" x14ac:dyDescent="0.3">
      <c r="A70" s="1163"/>
      <c r="B70" s="1156"/>
      <c r="C70" s="1157"/>
      <c r="D70" s="1156"/>
      <c r="E70" s="68" t="s">
        <v>27</v>
      </c>
      <c r="F70" s="65">
        <f t="shared" si="7"/>
        <v>0</v>
      </c>
      <c r="G70" s="584">
        <v>0</v>
      </c>
      <c r="H70" s="585">
        <v>0</v>
      </c>
      <c r="I70" s="586">
        <v>0</v>
      </c>
      <c r="J70" s="586">
        <v>0</v>
      </c>
      <c r="K70" s="587">
        <v>0</v>
      </c>
    </row>
    <row r="71" spans="1:11" outlineLevel="2" x14ac:dyDescent="0.3">
      <c r="A71" s="1163"/>
      <c r="B71" s="1156"/>
      <c r="C71" s="1157"/>
      <c r="D71" s="1156"/>
      <c r="E71" s="68" t="s">
        <v>28</v>
      </c>
      <c r="F71" s="65">
        <f t="shared" si="7"/>
        <v>0</v>
      </c>
      <c r="G71" s="584">
        <v>0</v>
      </c>
      <c r="H71" s="585">
        <v>0</v>
      </c>
      <c r="I71" s="586">
        <v>0</v>
      </c>
      <c r="J71" s="586">
        <v>0</v>
      </c>
      <c r="K71" s="587">
        <v>0</v>
      </c>
    </row>
    <row r="72" spans="1:11" outlineLevel="2" x14ac:dyDescent="0.3">
      <c r="A72" s="1163"/>
      <c r="B72" s="1156"/>
      <c r="C72" s="1157"/>
      <c r="D72" s="1156"/>
      <c r="E72" s="68" t="s">
        <v>29</v>
      </c>
      <c r="F72" s="65">
        <f t="shared" si="7"/>
        <v>0</v>
      </c>
      <c r="G72" s="584">
        <v>0</v>
      </c>
      <c r="H72" s="585">
        <v>0</v>
      </c>
      <c r="I72" s="586">
        <v>0</v>
      </c>
      <c r="J72" s="586">
        <v>0</v>
      </c>
      <c r="K72" s="587">
        <v>0</v>
      </c>
    </row>
    <row r="73" spans="1:11" outlineLevel="2" x14ac:dyDescent="0.3">
      <c r="A73" s="1163"/>
      <c r="B73" s="1156"/>
      <c r="C73" s="1157"/>
      <c r="D73" s="1156"/>
      <c r="E73" s="68" t="s">
        <v>30</v>
      </c>
      <c r="F73" s="65">
        <f t="shared" si="7"/>
        <v>0</v>
      </c>
      <c r="G73" s="584">
        <v>0</v>
      </c>
      <c r="H73" s="585">
        <v>0</v>
      </c>
      <c r="I73" s="586">
        <v>0</v>
      </c>
      <c r="J73" s="586">
        <v>0</v>
      </c>
      <c r="K73" s="587">
        <v>0</v>
      </c>
    </row>
    <row r="74" spans="1:11" outlineLevel="2" x14ac:dyDescent="0.3">
      <c r="A74" s="1163"/>
      <c r="B74" s="1156"/>
      <c r="C74" s="1157"/>
      <c r="D74" s="1156"/>
      <c r="E74" s="68" t="s">
        <v>31</v>
      </c>
      <c r="F74" s="65">
        <f t="shared" si="7"/>
        <v>0</v>
      </c>
      <c r="G74" s="584">
        <v>0</v>
      </c>
      <c r="H74" s="585">
        <v>0</v>
      </c>
      <c r="I74" s="586">
        <v>0</v>
      </c>
      <c r="J74" s="586">
        <v>0</v>
      </c>
      <c r="K74" s="587">
        <v>0</v>
      </c>
    </row>
    <row r="75" spans="1:11" outlineLevel="2" x14ac:dyDescent="0.3">
      <c r="A75" s="1163"/>
      <c r="B75" s="1156"/>
      <c r="C75" s="1157"/>
      <c r="D75" s="1156"/>
      <c r="E75" s="68" t="s">
        <v>32</v>
      </c>
      <c r="F75" s="65">
        <f t="shared" si="7"/>
        <v>0</v>
      </c>
      <c r="G75" s="584">
        <v>0</v>
      </c>
      <c r="H75" s="585">
        <v>0</v>
      </c>
      <c r="I75" s="586">
        <v>0</v>
      </c>
      <c r="J75" s="586">
        <v>0</v>
      </c>
      <c r="K75" s="587">
        <v>0</v>
      </c>
    </row>
    <row r="76" spans="1:11" outlineLevel="2" x14ac:dyDescent="0.3">
      <c r="A76" s="1163"/>
      <c r="B76" s="1156"/>
      <c r="C76" s="1157"/>
      <c r="D76" s="1156"/>
      <c r="E76" s="68" t="s">
        <v>33</v>
      </c>
      <c r="F76" s="65">
        <f t="shared" si="7"/>
        <v>0</v>
      </c>
      <c r="G76" s="584">
        <v>0</v>
      </c>
      <c r="H76" s="585">
        <v>0</v>
      </c>
      <c r="I76" s="586">
        <v>0</v>
      </c>
      <c r="J76" s="586">
        <v>0</v>
      </c>
      <c r="K76" s="587">
        <v>0</v>
      </c>
    </row>
    <row r="77" spans="1:11" ht="15" outlineLevel="2" thickBot="1" x14ac:dyDescent="0.35">
      <c r="A77" s="1163"/>
      <c r="B77" s="1156"/>
      <c r="C77" s="1157"/>
      <c r="D77" s="1156"/>
      <c r="E77" s="69" t="s">
        <v>34</v>
      </c>
      <c r="F77" s="66">
        <f t="shared" si="7"/>
        <v>0</v>
      </c>
      <c r="G77" s="588">
        <v>0</v>
      </c>
      <c r="H77" s="589">
        <v>0</v>
      </c>
      <c r="I77" s="590">
        <v>0</v>
      </c>
      <c r="J77" s="590">
        <v>0</v>
      </c>
      <c r="K77" s="591">
        <v>0</v>
      </c>
    </row>
    <row r="78" spans="1:11" ht="15" outlineLevel="1" thickBot="1" x14ac:dyDescent="0.35">
      <c r="A78" s="562" t="s">
        <v>334</v>
      </c>
      <c r="B78" s="17" t="s">
        <v>105</v>
      </c>
      <c r="C78" s="17"/>
      <c r="D78" s="17"/>
      <c r="E78" s="28"/>
      <c r="F78" s="114">
        <f t="shared" ref="F78:K78" si="8">SUM(F79:F128)</f>
        <v>4743732.4080000008</v>
      </c>
      <c r="G78" s="616">
        <f t="shared" si="8"/>
        <v>4222664.5040962808</v>
      </c>
      <c r="H78" s="616">
        <f t="shared" si="8"/>
        <v>124740.70610635211</v>
      </c>
      <c r="I78" s="617">
        <f t="shared" si="8"/>
        <v>113118.7307381771</v>
      </c>
      <c r="J78" s="617">
        <f t="shared" si="8"/>
        <v>7244.8677619793161</v>
      </c>
      <c r="K78" s="618">
        <f t="shared" si="8"/>
        <v>275963.59929721215</v>
      </c>
    </row>
    <row r="79" spans="1:11" outlineLevel="2" x14ac:dyDescent="0.3">
      <c r="A79" s="1163" t="s">
        <v>355</v>
      </c>
      <c r="B79" s="1156" t="s">
        <v>83</v>
      </c>
      <c r="C79" s="1157" t="s">
        <v>81</v>
      </c>
      <c r="D79" s="1156" t="s">
        <v>345</v>
      </c>
      <c r="E79" s="67" t="s">
        <v>25</v>
      </c>
      <c r="F79" s="71">
        <f t="shared" ref="F79:F110" si="9">SUM(G79:K79)</f>
        <v>0</v>
      </c>
      <c r="G79" s="597">
        <v>0</v>
      </c>
      <c r="H79" s="598">
        <v>0</v>
      </c>
      <c r="I79" s="599">
        <v>0</v>
      </c>
      <c r="J79" s="599">
        <v>0</v>
      </c>
      <c r="K79" s="600">
        <v>0</v>
      </c>
    </row>
    <row r="80" spans="1:11" outlineLevel="2" x14ac:dyDescent="0.3">
      <c r="A80" s="1163"/>
      <c r="B80" s="1156"/>
      <c r="C80" s="1157"/>
      <c r="D80" s="1156"/>
      <c r="E80" s="68" t="s">
        <v>26</v>
      </c>
      <c r="F80" s="72">
        <f t="shared" si="9"/>
        <v>0</v>
      </c>
      <c r="G80" s="602">
        <v>0</v>
      </c>
      <c r="H80" s="603">
        <v>0</v>
      </c>
      <c r="I80" s="604">
        <v>0</v>
      </c>
      <c r="J80" s="604">
        <v>0</v>
      </c>
      <c r="K80" s="605">
        <v>0</v>
      </c>
    </row>
    <row r="81" spans="1:11" outlineLevel="2" x14ac:dyDescent="0.3">
      <c r="A81" s="1163"/>
      <c r="B81" s="1156"/>
      <c r="C81" s="1157"/>
      <c r="D81" s="1156"/>
      <c r="E81" s="68" t="s">
        <v>27</v>
      </c>
      <c r="F81" s="72">
        <f t="shared" si="9"/>
        <v>391094.36100000015</v>
      </c>
      <c r="G81" s="602">
        <f>Faktory!$D$17*G25*(1+G$179)</f>
        <v>331283.73600000015</v>
      </c>
      <c r="H81" s="602">
        <f>Faktory!$D$17*H25*(1+H$179)</f>
        <v>14318.325000000001</v>
      </c>
      <c r="I81" s="602">
        <f>Faktory!$D$17*I25*(1+I$179)</f>
        <v>12984.300000000001</v>
      </c>
      <c r="J81" s="602">
        <f>Faktory!$D$17*J25*(1+J$179)</f>
        <v>831.6</v>
      </c>
      <c r="K81" s="602">
        <f>Faktory!$D$17*K25*(1+K$179)</f>
        <v>31676.400000000001</v>
      </c>
    </row>
    <row r="82" spans="1:11" outlineLevel="2" x14ac:dyDescent="0.3">
      <c r="A82" s="1163"/>
      <c r="B82" s="1156"/>
      <c r="C82" s="1157"/>
      <c r="D82" s="1156"/>
      <c r="E82" s="68" t="s">
        <v>28</v>
      </c>
      <c r="F82" s="72">
        <f t="shared" si="9"/>
        <v>391094.36100000015</v>
      </c>
      <c r="G82" s="602">
        <f>G81</f>
        <v>331283.73600000015</v>
      </c>
      <c r="H82" s="603">
        <f t="shared" ref="H82:K88" si="10">H81</f>
        <v>14318.325000000001</v>
      </c>
      <c r="I82" s="604">
        <f t="shared" si="10"/>
        <v>12984.300000000001</v>
      </c>
      <c r="J82" s="604">
        <f t="shared" si="10"/>
        <v>831.6</v>
      </c>
      <c r="K82" s="605">
        <f t="shared" si="10"/>
        <v>31676.400000000001</v>
      </c>
    </row>
    <row r="83" spans="1:11" outlineLevel="2" x14ac:dyDescent="0.3">
      <c r="A83" s="1163"/>
      <c r="B83" s="1156"/>
      <c r="C83" s="1157"/>
      <c r="D83" s="1156"/>
      <c r="E83" s="68" t="s">
        <v>29</v>
      </c>
      <c r="F83" s="72">
        <f t="shared" si="9"/>
        <v>391094.36100000015</v>
      </c>
      <c r="G83" s="602">
        <f t="shared" ref="G83:G88" si="11">G82</f>
        <v>331283.73600000015</v>
      </c>
      <c r="H83" s="603">
        <f t="shared" si="10"/>
        <v>14318.325000000001</v>
      </c>
      <c r="I83" s="604">
        <f t="shared" si="10"/>
        <v>12984.300000000001</v>
      </c>
      <c r="J83" s="604">
        <f t="shared" si="10"/>
        <v>831.6</v>
      </c>
      <c r="K83" s="605">
        <f t="shared" si="10"/>
        <v>31676.400000000001</v>
      </c>
    </row>
    <row r="84" spans="1:11" outlineLevel="2" x14ac:dyDescent="0.3">
      <c r="A84" s="1163"/>
      <c r="B84" s="1156"/>
      <c r="C84" s="1157"/>
      <c r="D84" s="1156"/>
      <c r="E84" s="68" t="s">
        <v>30</v>
      </c>
      <c r="F84" s="72">
        <f t="shared" si="9"/>
        <v>391094.36100000015</v>
      </c>
      <c r="G84" s="602">
        <f t="shared" si="11"/>
        <v>331283.73600000015</v>
      </c>
      <c r="H84" s="603">
        <f t="shared" si="10"/>
        <v>14318.325000000001</v>
      </c>
      <c r="I84" s="604">
        <f t="shared" si="10"/>
        <v>12984.300000000001</v>
      </c>
      <c r="J84" s="604">
        <f t="shared" si="10"/>
        <v>831.6</v>
      </c>
      <c r="K84" s="605">
        <f t="shared" si="10"/>
        <v>31676.400000000001</v>
      </c>
    </row>
    <row r="85" spans="1:11" outlineLevel="2" x14ac:dyDescent="0.3">
      <c r="A85" s="1163"/>
      <c r="B85" s="1156"/>
      <c r="C85" s="1157"/>
      <c r="D85" s="1156"/>
      <c r="E85" s="68" t="s">
        <v>31</v>
      </c>
      <c r="F85" s="72">
        <f t="shared" si="9"/>
        <v>391094.36100000015</v>
      </c>
      <c r="G85" s="602">
        <f t="shared" si="11"/>
        <v>331283.73600000015</v>
      </c>
      <c r="H85" s="603">
        <f t="shared" si="10"/>
        <v>14318.325000000001</v>
      </c>
      <c r="I85" s="604">
        <f t="shared" si="10"/>
        <v>12984.300000000001</v>
      </c>
      <c r="J85" s="604">
        <f t="shared" si="10"/>
        <v>831.6</v>
      </c>
      <c r="K85" s="605">
        <f t="shared" si="10"/>
        <v>31676.400000000001</v>
      </c>
    </row>
    <row r="86" spans="1:11" outlineLevel="2" x14ac:dyDescent="0.3">
      <c r="A86" s="1163"/>
      <c r="B86" s="1156"/>
      <c r="C86" s="1157"/>
      <c r="D86" s="1156"/>
      <c r="E86" s="68" t="s">
        <v>32</v>
      </c>
      <c r="F86" s="72">
        <f t="shared" si="9"/>
        <v>391094.36100000015</v>
      </c>
      <c r="G86" s="602">
        <f t="shared" si="11"/>
        <v>331283.73600000015</v>
      </c>
      <c r="H86" s="603">
        <f t="shared" si="10"/>
        <v>14318.325000000001</v>
      </c>
      <c r="I86" s="604">
        <f t="shared" si="10"/>
        <v>12984.300000000001</v>
      </c>
      <c r="J86" s="604">
        <f t="shared" si="10"/>
        <v>831.6</v>
      </c>
      <c r="K86" s="605">
        <f t="shared" si="10"/>
        <v>31676.400000000001</v>
      </c>
    </row>
    <row r="87" spans="1:11" outlineLevel="2" x14ac:dyDescent="0.3">
      <c r="A87" s="1163"/>
      <c r="B87" s="1156"/>
      <c r="C87" s="1157"/>
      <c r="D87" s="1156"/>
      <c r="E87" s="68" t="s">
        <v>33</v>
      </c>
      <c r="F87" s="72">
        <f t="shared" si="9"/>
        <v>391094.36100000015</v>
      </c>
      <c r="G87" s="602">
        <f t="shared" si="11"/>
        <v>331283.73600000015</v>
      </c>
      <c r="H87" s="603">
        <f t="shared" si="10"/>
        <v>14318.325000000001</v>
      </c>
      <c r="I87" s="604">
        <f t="shared" si="10"/>
        <v>12984.300000000001</v>
      </c>
      <c r="J87" s="604">
        <f t="shared" si="10"/>
        <v>831.6</v>
      </c>
      <c r="K87" s="605">
        <f t="shared" si="10"/>
        <v>31676.400000000001</v>
      </c>
    </row>
    <row r="88" spans="1:11" ht="15" outlineLevel="2" thickBot="1" x14ac:dyDescent="0.35">
      <c r="A88" s="1163"/>
      <c r="B88" s="1156"/>
      <c r="C88" s="1157"/>
      <c r="D88" s="1156"/>
      <c r="E88" s="69" t="s">
        <v>34</v>
      </c>
      <c r="F88" s="73">
        <f t="shared" si="9"/>
        <v>391094.36100000015</v>
      </c>
      <c r="G88" s="607">
        <f t="shared" si="11"/>
        <v>331283.73600000015</v>
      </c>
      <c r="H88" s="608">
        <f t="shared" si="10"/>
        <v>14318.325000000001</v>
      </c>
      <c r="I88" s="609">
        <f t="shared" si="10"/>
        <v>12984.300000000001</v>
      </c>
      <c r="J88" s="609">
        <f t="shared" si="10"/>
        <v>831.6</v>
      </c>
      <c r="K88" s="610">
        <f t="shared" si="10"/>
        <v>31676.400000000001</v>
      </c>
    </row>
    <row r="89" spans="1:11" outlineLevel="2" x14ac:dyDescent="0.3">
      <c r="A89" s="1163" t="s">
        <v>356</v>
      </c>
      <c r="B89" s="1156" t="s">
        <v>84</v>
      </c>
      <c r="C89" s="1157" t="s">
        <v>78</v>
      </c>
      <c r="D89" s="1156" t="s">
        <v>347</v>
      </c>
      <c r="E89" s="67" t="s">
        <v>25</v>
      </c>
      <c r="F89" s="72">
        <f t="shared" si="9"/>
        <v>0</v>
      </c>
      <c r="G89" s="597">
        <v>0</v>
      </c>
      <c r="H89" s="598">
        <v>0</v>
      </c>
      <c r="I89" s="599">
        <v>0</v>
      </c>
      <c r="J89" s="599">
        <v>0</v>
      </c>
      <c r="K89" s="600">
        <v>0</v>
      </c>
    </row>
    <row r="90" spans="1:11" outlineLevel="2" x14ac:dyDescent="0.3">
      <c r="A90" s="1163"/>
      <c r="B90" s="1156"/>
      <c r="C90" s="1157"/>
      <c r="D90" s="1156"/>
      <c r="E90" s="68" t="s">
        <v>26</v>
      </c>
      <c r="F90" s="72">
        <f t="shared" si="9"/>
        <v>0</v>
      </c>
      <c r="G90" s="602">
        <v>0</v>
      </c>
      <c r="H90" s="603">
        <v>0</v>
      </c>
      <c r="I90" s="604">
        <v>0</v>
      </c>
      <c r="J90" s="604">
        <v>0</v>
      </c>
      <c r="K90" s="605">
        <v>0</v>
      </c>
    </row>
    <row r="91" spans="1:11" outlineLevel="2" x14ac:dyDescent="0.3">
      <c r="A91" s="1163"/>
      <c r="B91" s="1156"/>
      <c r="C91" s="1157"/>
      <c r="D91" s="1156"/>
      <c r="E91" s="68" t="s">
        <v>27</v>
      </c>
      <c r="F91" s="72">
        <f t="shared" si="9"/>
        <v>0</v>
      </c>
      <c r="G91" s="602">
        <v>0</v>
      </c>
      <c r="H91" s="603">
        <v>0</v>
      </c>
      <c r="I91" s="604">
        <v>0</v>
      </c>
      <c r="J91" s="604">
        <v>0</v>
      </c>
      <c r="K91" s="605">
        <v>0</v>
      </c>
    </row>
    <row r="92" spans="1:11" outlineLevel="2" x14ac:dyDescent="0.3">
      <c r="A92" s="1163"/>
      <c r="B92" s="1156"/>
      <c r="C92" s="1157"/>
      <c r="D92" s="1156"/>
      <c r="E92" s="68" t="s">
        <v>28</v>
      </c>
      <c r="F92" s="72">
        <f t="shared" si="9"/>
        <v>0</v>
      </c>
      <c r="G92" s="602">
        <v>0</v>
      </c>
      <c r="H92" s="603">
        <v>0</v>
      </c>
      <c r="I92" s="604">
        <v>0</v>
      </c>
      <c r="J92" s="604">
        <v>0</v>
      </c>
      <c r="K92" s="605">
        <v>0</v>
      </c>
    </row>
    <row r="93" spans="1:11" outlineLevel="2" x14ac:dyDescent="0.3">
      <c r="A93" s="1163"/>
      <c r="B93" s="1156"/>
      <c r="C93" s="1157"/>
      <c r="D93" s="1156"/>
      <c r="E93" s="68" t="s">
        <v>29</v>
      </c>
      <c r="F93" s="72">
        <f t="shared" si="9"/>
        <v>0</v>
      </c>
      <c r="G93" s="602">
        <v>0</v>
      </c>
      <c r="H93" s="603">
        <v>0</v>
      </c>
      <c r="I93" s="604">
        <v>0</v>
      </c>
      <c r="J93" s="604">
        <v>0</v>
      </c>
      <c r="K93" s="605">
        <v>0</v>
      </c>
    </row>
    <row r="94" spans="1:11" outlineLevel="2" x14ac:dyDescent="0.3">
      <c r="A94" s="1163"/>
      <c r="B94" s="1156"/>
      <c r="C94" s="1157"/>
      <c r="D94" s="1156"/>
      <c r="E94" s="68" t="s">
        <v>30</v>
      </c>
      <c r="F94" s="72">
        <f t="shared" si="9"/>
        <v>0</v>
      </c>
      <c r="G94" s="602">
        <v>0</v>
      </c>
      <c r="H94" s="603">
        <v>0</v>
      </c>
      <c r="I94" s="604">
        <v>0</v>
      </c>
      <c r="J94" s="604">
        <v>0</v>
      </c>
      <c r="K94" s="605">
        <v>0</v>
      </c>
    </row>
    <row r="95" spans="1:11" outlineLevel="2" x14ac:dyDescent="0.3">
      <c r="A95" s="1163"/>
      <c r="B95" s="1156"/>
      <c r="C95" s="1157"/>
      <c r="D95" s="1156"/>
      <c r="E95" s="68" t="s">
        <v>31</v>
      </c>
      <c r="F95" s="72">
        <f t="shared" si="9"/>
        <v>0</v>
      </c>
      <c r="G95" s="602">
        <v>0</v>
      </c>
      <c r="H95" s="603">
        <v>0</v>
      </c>
      <c r="I95" s="604">
        <v>0</v>
      </c>
      <c r="J95" s="604">
        <v>0</v>
      </c>
      <c r="K95" s="605">
        <v>0</v>
      </c>
    </row>
    <row r="96" spans="1:11" outlineLevel="2" x14ac:dyDescent="0.3">
      <c r="A96" s="1163"/>
      <c r="B96" s="1156"/>
      <c r="C96" s="1157"/>
      <c r="D96" s="1156"/>
      <c r="E96" s="68" t="s">
        <v>32</v>
      </c>
      <c r="F96" s="72">
        <f t="shared" si="9"/>
        <v>0</v>
      </c>
      <c r="G96" s="602">
        <v>0</v>
      </c>
      <c r="H96" s="603">
        <v>0</v>
      </c>
      <c r="I96" s="604">
        <v>0</v>
      </c>
      <c r="J96" s="604">
        <v>0</v>
      </c>
      <c r="K96" s="605">
        <v>0</v>
      </c>
    </row>
    <row r="97" spans="1:11" outlineLevel="2" x14ac:dyDescent="0.3">
      <c r="A97" s="1163"/>
      <c r="B97" s="1156"/>
      <c r="C97" s="1157"/>
      <c r="D97" s="1156"/>
      <c r="E97" s="68" t="s">
        <v>33</v>
      </c>
      <c r="F97" s="72">
        <f t="shared" si="9"/>
        <v>0</v>
      </c>
      <c r="G97" s="602">
        <v>0</v>
      </c>
      <c r="H97" s="603">
        <v>0</v>
      </c>
      <c r="I97" s="604">
        <v>0</v>
      </c>
      <c r="J97" s="604">
        <v>0</v>
      </c>
      <c r="K97" s="605">
        <v>0</v>
      </c>
    </row>
    <row r="98" spans="1:11" ht="15" outlineLevel="2" thickBot="1" x14ac:dyDescent="0.35">
      <c r="A98" s="1163"/>
      <c r="B98" s="1156"/>
      <c r="C98" s="1157"/>
      <c r="D98" s="1156"/>
      <c r="E98" s="69" t="s">
        <v>34</v>
      </c>
      <c r="F98" s="73">
        <f t="shared" si="9"/>
        <v>0</v>
      </c>
      <c r="G98" s="607">
        <v>0</v>
      </c>
      <c r="H98" s="608">
        <v>0</v>
      </c>
      <c r="I98" s="609">
        <v>0</v>
      </c>
      <c r="J98" s="609">
        <v>0</v>
      </c>
      <c r="K98" s="610">
        <v>0</v>
      </c>
    </row>
    <row r="99" spans="1:11" outlineLevel="2" x14ac:dyDescent="0.3">
      <c r="A99" s="1163" t="s">
        <v>357</v>
      </c>
      <c r="B99" s="1156" t="s">
        <v>85</v>
      </c>
      <c r="C99" s="1157" t="s">
        <v>73</v>
      </c>
      <c r="D99" s="1156" t="s">
        <v>346</v>
      </c>
      <c r="E99" s="67" t="s">
        <v>25</v>
      </c>
      <c r="F99" s="72">
        <f t="shared" si="9"/>
        <v>0</v>
      </c>
      <c r="G99" s="597">
        <v>0</v>
      </c>
      <c r="H99" s="598">
        <v>0</v>
      </c>
      <c r="I99" s="599">
        <v>0</v>
      </c>
      <c r="J99" s="599">
        <v>0</v>
      </c>
      <c r="K99" s="600">
        <v>0</v>
      </c>
    </row>
    <row r="100" spans="1:11" outlineLevel="2" x14ac:dyDescent="0.3">
      <c r="A100" s="1163"/>
      <c r="B100" s="1156"/>
      <c r="C100" s="1157"/>
      <c r="D100" s="1156"/>
      <c r="E100" s="68" t="s">
        <v>26</v>
      </c>
      <c r="F100" s="72">
        <f t="shared" si="9"/>
        <v>0</v>
      </c>
      <c r="G100" s="602">
        <v>0</v>
      </c>
      <c r="H100" s="603">
        <v>0</v>
      </c>
      <c r="I100" s="604">
        <v>0</v>
      </c>
      <c r="J100" s="604">
        <v>0</v>
      </c>
      <c r="K100" s="605">
        <v>0</v>
      </c>
    </row>
    <row r="101" spans="1:11" outlineLevel="2" x14ac:dyDescent="0.3">
      <c r="A101" s="1163"/>
      <c r="B101" s="1156"/>
      <c r="C101" s="1157"/>
      <c r="D101" s="1156"/>
      <c r="E101" s="68" t="s">
        <v>27</v>
      </c>
      <c r="F101" s="72">
        <f t="shared" si="9"/>
        <v>0</v>
      </c>
      <c r="G101" s="602">
        <v>0</v>
      </c>
      <c r="H101" s="603">
        <v>0</v>
      </c>
      <c r="I101" s="604">
        <v>0</v>
      </c>
      <c r="J101" s="604">
        <v>0</v>
      </c>
      <c r="K101" s="605">
        <v>0</v>
      </c>
    </row>
    <row r="102" spans="1:11" outlineLevel="2" x14ac:dyDescent="0.3">
      <c r="A102" s="1163"/>
      <c r="B102" s="1156"/>
      <c r="C102" s="1157"/>
      <c r="D102" s="1156"/>
      <c r="E102" s="68" t="s">
        <v>28</v>
      </c>
      <c r="F102" s="72">
        <f t="shared" si="9"/>
        <v>0</v>
      </c>
      <c r="G102" s="602">
        <v>0</v>
      </c>
      <c r="H102" s="603">
        <v>0</v>
      </c>
      <c r="I102" s="604">
        <v>0</v>
      </c>
      <c r="J102" s="604">
        <v>0</v>
      </c>
      <c r="K102" s="605">
        <v>0</v>
      </c>
    </row>
    <row r="103" spans="1:11" outlineLevel="2" x14ac:dyDescent="0.3">
      <c r="A103" s="1163"/>
      <c r="B103" s="1156"/>
      <c r="C103" s="1157"/>
      <c r="D103" s="1156"/>
      <c r="E103" s="68" t="s">
        <v>29</v>
      </c>
      <c r="F103" s="72">
        <f t="shared" si="9"/>
        <v>0</v>
      </c>
      <c r="G103" s="602">
        <v>0</v>
      </c>
      <c r="H103" s="603">
        <v>0</v>
      </c>
      <c r="I103" s="604">
        <v>0</v>
      </c>
      <c r="J103" s="604">
        <v>0</v>
      </c>
      <c r="K103" s="605">
        <v>0</v>
      </c>
    </row>
    <row r="104" spans="1:11" outlineLevel="2" x14ac:dyDescent="0.3">
      <c r="A104" s="1163"/>
      <c r="B104" s="1156"/>
      <c r="C104" s="1157"/>
      <c r="D104" s="1156"/>
      <c r="E104" s="68" t="s">
        <v>30</v>
      </c>
      <c r="F104" s="72">
        <f t="shared" si="9"/>
        <v>0</v>
      </c>
      <c r="G104" s="602">
        <v>0</v>
      </c>
      <c r="H104" s="603">
        <v>0</v>
      </c>
      <c r="I104" s="604">
        <v>0</v>
      </c>
      <c r="J104" s="604">
        <v>0</v>
      </c>
      <c r="K104" s="605">
        <v>0</v>
      </c>
    </row>
    <row r="105" spans="1:11" outlineLevel="2" x14ac:dyDescent="0.3">
      <c r="A105" s="1163"/>
      <c r="B105" s="1156"/>
      <c r="C105" s="1157"/>
      <c r="D105" s="1156"/>
      <c r="E105" s="68" t="s">
        <v>31</v>
      </c>
      <c r="F105" s="72">
        <f t="shared" si="9"/>
        <v>0</v>
      </c>
      <c r="G105" s="602">
        <v>0</v>
      </c>
      <c r="H105" s="603">
        <v>0</v>
      </c>
      <c r="I105" s="604">
        <v>0</v>
      </c>
      <c r="J105" s="604">
        <v>0</v>
      </c>
      <c r="K105" s="605">
        <v>0</v>
      </c>
    </row>
    <row r="106" spans="1:11" outlineLevel="2" x14ac:dyDescent="0.3">
      <c r="A106" s="1163"/>
      <c r="B106" s="1156"/>
      <c r="C106" s="1157"/>
      <c r="D106" s="1156"/>
      <c r="E106" s="68" t="s">
        <v>32</v>
      </c>
      <c r="F106" s="72">
        <f t="shared" si="9"/>
        <v>0</v>
      </c>
      <c r="G106" s="602">
        <v>0</v>
      </c>
      <c r="H106" s="603">
        <v>0</v>
      </c>
      <c r="I106" s="604">
        <v>0</v>
      </c>
      <c r="J106" s="604">
        <v>0</v>
      </c>
      <c r="K106" s="605">
        <v>0</v>
      </c>
    </row>
    <row r="107" spans="1:11" outlineLevel="2" x14ac:dyDescent="0.3">
      <c r="A107" s="1163"/>
      <c r="B107" s="1156"/>
      <c r="C107" s="1157"/>
      <c r="D107" s="1156"/>
      <c r="E107" s="68" t="s">
        <v>33</v>
      </c>
      <c r="F107" s="72">
        <f t="shared" si="9"/>
        <v>0</v>
      </c>
      <c r="G107" s="602">
        <v>0</v>
      </c>
      <c r="H107" s="603">
        <v>0</v>
      </c>
      <c r="I107" s="604">
        <v>0</v>
      </c>
      <c r="J107" s="604">
        <v>0</v>
      </c>
      <c r="K107" s="605">
        <v>0</v>
      </c>
    </row>
    <row r="108" spans="1:11" ht="15" outlineLevel="2" thickBot="1" x14ac:dyDescent="0.35">
      <c r="A108" s="1163"/>
      <c r="B108" s="1156"/>
      <c r="C108" s="1157"/>
      <c r="D108" s="1156"/>
      <c r="E108" s="69" t="s">
        <v>34</v>
      </c>
      <c r="F108" s="73">
        <f t="shared" si="9"/>
        <v>0</v>
      </c>
      <c r="G108" s="607">
        <v>0</v>
      </c>
      <c r="H108" s="608">
        <v>0</v>
      </c>
      <c r="I108" s="609">
        <v>0</v>
      </c>
      <c r="J108" s="609">
        <v>0</v>
      </c>
      <c r="K108" s="610">
        <v>0</v>
      </c>
    </row>
    <row r="109" spans="1:11" ht="14.4" customHeight="1" outlineLevel="2" x14ac:dyDescent="0.3">
      <c r="A109" s="1163" t="s">
        <v>358</v>
      </c>
      <c r="B109" s="1156" t="s">
        <v>86</v>
      </c>
      <c r="C109" s="1157" t="s">
        <v>87</v>
      </c>
      <c r="D109" s="1162">
        <v>610</v>
      </c>
      <c r="E109" s="67" t="s">
        <v>25</v>
      </c>
      <c r="F109" s="72">
        <f t="shared" si="9"/>
        <v>161497.75199999998</v>
      </c>
      <c r="G109" s="597">
        <f>(4*Faktory!$D$7*1.352*150%+Faktory!$D$7*1.352*125%*G$172/$F$172)*12*(1+H$179)</f>
        <v>157239.46160962794</v>
      </c>
      <c r="H109" s="597">
        <f>Faktory!$D$7*1.352*125%*12*H$172/$F$172*(1+H$179)</f>
        <v>1019.4106106352166</v>
      </c>
      <c r="I109" s="597">
        <f>Faktory!$D$7*1.352*125%*12*I$172/$F$172*(1+I$179)</f>
        <v>924.4330738177016</v>
      </c>
      <c r="J109" s="597">
        <f>Faktory!$D$7*1.352*125%*12*J$172/$F$172*(1+J$179)</f>
        <v>59.206776197931404</v>
      </c>
      <c r="K109" s="597">
        <f>Faktory!$D$7*1.352*125%*12*K$172/$F$172*(1+K$179)</f>
        <v>2255.2399297212055</v>
      </c>
    </row>
    <row r="110" spans="1:11" outlineLevel="2" x14ac:dyDescent="0.3">
      <c r="A110" s="1163"/>
      <c r="B110" s="1156"/>
      <c r="C110" s="1157"/>
      <c r="D110" s="1162"/>
      <c r="E110" s="68" t="s">
        <v>26</v>
      </c>
      <c r="F110" s="72">
        <f t="shared" si="9"/>
        <v>161497.75199999998</v>
      </c>
      <c r="G110" s="602">
        <f>G109</f>
        <v>157239.46160962794</v>
      </c>
      <c r="H110" s="602">
        <f t="shared" ref="H110:K118" si="12">H109</f>
        <v>1019.4106106352166</v>
      </c>
      <c r="I110" s="602">
        <f>I109</f>
        <v>924.4330738177016</v>
      </c>
      <c r="J110" s="602">
        <f>J109</f>
        <v>59.206776197931404</v>
      </c>
      <c r="K110" s="602">
        <f>K109</f>
        <v>2255.2399297212055</v>
      </c>
    </row>
    <row r="111" spans="1:11" outlineLevel="2" x14ac:dyDescent="0.3">
      <c r="A111" s="1163"/>
      <c r="B111" s="1156"/>
      <c r="C111" s="1157"/>
      <c r="D111" s="1162"/>
      <c r="E111" s="68" t="s">
        <v>27</v>
      </c>
      <c r="F111" s="72">
        <f t="shared" ref="F111:F128" si="13">SUM(G111:K111)</f>
        <v>161497.75199999998</v>
      </c>
      <c r="G111" s="602">
        <f>G109</f>
        <v>157239.46160962794</v>
      </c>
      <c r="H111" s="602">
        <f t="shared" si="12"/>
        <v>1019.4106106352166</v>
      </c>
      <c r="I111" s="602">
        <f t="shared" si="12"/>
        <v>924.4330738177016</v>
      </c>
      <c r="J111" s="602">
        <f t="shared" si="12"/>
        <v>59.206776197931404</v>
      </c>
      <c r="K111" s="602">
        <f t="shared" si="12"/>
        <v>2255.2399297212055</v>
      </c>
    </row>
    <row r="112" spans="1:11" outlineLevel="2" x14ac:dyDescent="0.3">
      <c r="A112" s="1163"/>
      <c r="B112" s="1156"/>
      <c r="C112" s="1157"/>
      <c r="D112" s="1162"/>
      <c r="E112" s="68" t="s">
        <v>28</v>
      </c>
      <c r="F112" s="72">
        <f t="shared" si="13"/>
        <v>161497.75199999998</v>
      </c>
      <c r="G112" s="602">
        <f>G109</f>
        <v>157239.46160962794</v>
      </c>
      <c r="H112" s="602">
        <f t="shared" si="12"/>
        <v>1019.4106106352166</v>
      </c>
      <c r="I112" s="602">
        <f t="shared" si="12"/>
        <v>924.4330738177016</v>
      </c>
      <c r="J112" s="602">
        <f t="shared" si="12"/>
        <v>59.206776197931404</v>
      </c>
      <c r="K112" s="602">
        <f t="shared" si="12"/>
        <v>2255.2399297212055</v>
      </c>
    </row>
    <row r="113" spans="1:11" outlineLevel="2" x14ac:dyDescent="0.3">
      <c r="A113" s="1163"/>
      <c r="B113" s="1156"/>
      <c r="C113" s="1157"/>
      <c r="D113" s="1162"/>
      <c r="E113" s="68" t="s">
        <v>29</v>
      </c>
      <c r="F113" s="72">
        <f t="shared" si="13"/>
        <v>161497.75199999998</v>
      </c>
      <c r="G113" s="602">
        <f>G109</f>
        <v>157239.46160962794</v>
      </c>
      <c r="H113" s="602">
        <f t="shared" si="12"/>
        <v>1019.4106106352166</v>
      </c>
      <c r="I113" s="602">
        <f t="shared" si="12"/>
        <v>924.4330738177016</v>
      </c>
      <c r="J113" s="602">
        <f t="shared" si="12"/>
        <v>59.206776197931404</v>
      </c>
      <c r="K113" s="602">
        <f t="shared" si="12"/>
        <v>2255.2399297212055</v>
      </c>
    </row>
    <row r="114" spans="1:11" outlineLevel="2" x14ac:dyDescent="0.3">
      <c r="A114" s="1163"/>
      <c r="B114" s="1156"/>
      <c r="C114" s="1157"/>
      <c r="D114" s="1162"/>
      <c r="E114" s="68" t="s">
        <v>30</v>
      </c>
      <c r="F114" s="72">
        <f t="shared" si="13"/>
        <v>161497.75199999998</v>
      </c>
      <c r="G114" s="602">
        <f>G109</f>
        <v>157239.46160962794</v>
      </c>
      <c r="H114" s="602">
        <f t="shared" si="12"/>
        <v>1019.4106106352166</v>
      </c>
      <c r="I114" s="602">
        <f t="shared" si="12"/>
        <v>924.4330738177016</v>
      </c>
      <c r="J114" s="602">
        <f t="shared" si="12"/>
        <v>59.206776197931404</v>
      </c>
      <c r="K114" s="602">
        <f t="shared" si="12"/>
        <v>2255.2399297212055</v>
      </c>
    </row>
    <row r="115" spans="1:11" outlineLevel="2" x14ac:dyDescent="0.3">
      <c r="A115" s="1163"/>
      <c r="B115" s="1156"/>
      <c r="C115" s="1157"/>
      <c r="D115" s="1162"/>
      <c r="E115" s="68" t="s">
        <v>31</v>
      </c>
      <c r="F115" s="72">
        <f t="shared" si="13"/>
        <v>161497.75199999998</v>
      </c>
      <c r="G115" s="602">
        <f>G109</f>
        <v>157239.46160962794</v>
      </c>
      <c r="H115" s="602">
        <f t="shared" si="12"/>
        <v>1019.4106106352166</v>
      </c>
      <c r="I115" s="602">
        <f t="shared" si="12"/>
        <v>924.4330738177016</v>
      </c>
      <c r="J115" s="602">
        <f t="shared" si="12"/>
        <v>59.206776197931404</v>
      </c>
      <c r="K115" s="602">
        <f t="shared" si="12"/>
        <v>2255.2399297212055</v>
      </c>
    </row>
    <row r="116" spans="1:11" outlineLevel="2" x14ac:dyDescent="0.3">
      <c r="A116" s="1163"/>
      <c r="B116" s="1156"/>
      <c r="C116" s="1157"/>
      <c r="D116" s="1162"/>
      <c r="E116" s="68" t="s">
        <v>32</v>
      </c>
      <c r="F116" s="72">
        <f t="shared" si="13"/>
        <v>161497.75199999998</v>
      </c>
      <c r="G116" s="602">
        <f>G109</f>
        <v>157239.46160962794</v>
      </c>
      <c r="H116" s="602">
        <f t="shared" si="12"/>
        <v>1019.4106106352166</v>
      </c>
      <c r="I116" s="602">
        <f t="shared" si="12"/>
        <v>924.4330738177016</v>
      </c>
      <c r="J116" s="602">
        <f t="shared" si="12"/>
        <v>59.206776197931404</v>
      </c>
      <c r="K116" s="602">
        <f t="shared" si="12"/>
        <v>2255.2399297212055</v>
      </c>
    </row>
    <row r="117" spans="1:11" outlineLevel="2" x14ac:dyDescent="0.3">
      <c r="A117" s="1163"/>
      <c r="B117" s="1156"/>
      <c r="C117" s="1157"/>
      <c r="D117" s="1162"/>
      <c r="E117" s="68" t="s">
        <v>33</v>
      </c>
      <c r="F117" s="72">
        <f t="shared" si="13"/>
        <v>161497.75199999998</v>
      </c>
      <c r="G117" s="602">
        <f>G109</f>
        <v>157239.46160962794</v>
      </c>
      <c r="H117" s="602">
        <f t="shared" si="12"/>
        <v>1019.4106106352166</v>
      </c>
      <c r="I117" s="602">
        <f t="shared" si="12"/>
        <v>924.4330738177016</v>
      </c>
      <c r="J117" s="602">
        <f t="shared" si="12"/>
        <v>59.206776197931404</v>
      </c>
      <c r="K117" s="602">
        <f t="shared" si="12"/>
        <v>2255.2399297212055</v>
      </c>
    </row>
    <row r="118" spans="1:11" ht="15" outlineLevel="2" thickBot="1" x14ac:dyDescent="0.35">
      <c r="A118" s="1163"/>
      <c r="B118" s="1156"/>
      <c r="C118" s="1157"/>
      <c r="D118" s="1162"/>
      <c r="E118" s="69" t="s">
        <v>34</v>
      </c>
      <c r="F118" s="73">
        <f t="shared" si="13"/>
        <v>161497.75199999998</v>
      </c>
      <c r="G118" s="607">
        <f>G109</f>
        <v>157239.46160962794</v>
      </c>
      <c r="H118" s="607">
        <f t="shared" si="12"/>
        <v>1019.4106106352166</v>
      </c>
      <c r="I118" s="607">
        <f t="shared" si="12"/>
        <v>924.4330738177016</v>
      </c>
      <c r="J118" s="607">
        <f t="shared" si="12"/>
        <v>59.206776197931404</v>
      </c>
      <c r="K118" s="607">
        <f t="shared" si="12"/>
        <v>2255.2399297212055</v>
      </c>
    </row>
    <row r="119" spans="1:11" outlineLevel="2" x14ac:dyDescent="0.3">
      <c r="A119" s="1163" t="s">
        <v>359</v>
      </c>
      <c r="B119" s="1156" t="s">
        <v>77</v>
      </c>
      <c r="C119" s="1157" t="s">
        <v>78</v>
      </c>
      <c r="D119" s="1156" t="s">
        <v>344</v>
      </c>
      <c r="E119" s="67" t="s">
        <v>25</v>
      </c>
      <c r="F119" s="72">
        <f t="shared" si="13"/>
        <v>0</v>
      </c>
      <c r="G119" s="597">
        <v>0</v>
      </c>
      <c r="H119" s="598">
        <v>0</v>
      </c>
      <c r="I119" s="599">
        <v>0</v>
      </c>
      <c r="J119" s="599">
        <v>0</v>
      </c>
      <c r="K119" s="600">
        <v>0</v>
      </c>
    </row>
    <row r="120" spans="1:11" outlineLevel="2" x14ac:dyDescent="0.3">
      <c r="A120" s="1163"/>
      <c r="B120" s="1156"/>
      <c r="C120" s="1157"/>
      <c r="D120" s="1156"/>
      <c r="E120" s="68" t="s">
        <v>26</v>
      </c>
      <c r="F120" s="72">
        <f t="shared" si="13"/>
        <v>0</v>
      </c>
      <c r="G120" s="602">
        <v>0</v>
      </c>
      <c r="H120" s="603">
        <v>0</v>
      </c>
      <c r="I120" s="604">
        <v>0</v>
      </c>
      <c r="J120" s="604">
        <v>0</v>
      </c>
      <c r="K120" s="605">
        <v>0</v>
      </c>
    </row>
    <row r="121" spans="1:11" outlineLevel="2" x14ac:dyDescent="0.3">
      <c r="A121" s="1163"/>
      <c r="B121" s="1156"/>
      <c r="C121" s="1157"/>
      <c r="D121" s="1156"/>
      <c r="E121" s="68" t="s">
        <v>27</v>
      </c>
      <c r="F121" s="72">
        <f t="shared" si="13"/>
        <v>0</v>
      </c>
      <c r="G121" s="602">
        <v>0</v>
      </c>
      <c r="H121" s="603">
        <v>0</v>
      </c>
      <c r="I121" s="604">
        <v>0</v>
      </c>
      <c r="J121" s="604">
        <v>0</v>
      </c>
      <c r="K121" s="605">
        <v>0</v>
      </c>
    </row>
    <row r="122" spans="1:11" outlineLevel="2" x14ac:dyDescent="0.3">
      <c r="A122" s="1163"/>
      <c r="B122" s="1156"/>
      <c r="C122" s="1157"/>
      <c r="D122" s="1156"/>
      <c r="E122" s="68" t="s">
        <v>28</v>
      </c>
      <c r="F122" s="72">
        <f t="shared" si="13"/>
        <v>0</v>
      </c>
      <c r="G122" s="602">
        <v>0</v>
      </c>
      <c r="H122" s="603">
        <v>0</v>
      </c>
      <c r="I122" s="604">
        <v>0</v>
      </c>
      <c r="J122" s="604">
        <v>0</v>
      </c>
      <c r="K122" s="605">
        <v>0</v>
      </c>
    </row>
    <row r="123" spans="1:11" outlineLevel="2" x14ac:dyDescent="0.3">
      <c r="A123" s="1163"/>
      <c r="B123" s="1156"/>
      <c r="C123" s="1157"/>
      <c r="D123" s="1156"/>
      <c r="E123" s="68" t="s">
        <v>29</v>
      </c>
      <c r="F123" s="72">
        <f t="shared" si="13"/>
        <v>0</v>
      </c>
      <c r="G123" s="602">
        <v>0</v>
      </c>
      <c r="H123" s="603">
        <v>0</v>
      </c>
      <c r="I123" s="604">
        <v>0</v>
      </c>
      <c r="J123" s="604">
        <v>0</v>
      </c>
      <c r="K123" s="605">
        <v>0</v>
      </c>
    </row>
    <row r="124" spans="1:11" outlineLevel="2" x14ac:dyDescent="0.3">
      <c r="A124" s="1163"/>
      <c r="B124" s="1156"/>
      <c r="C124" s="1157"/>
      <c r="D124" s="1156"/>
      <c r="E124" s="68" t="s">
        <v>30</v>
      </c>
      <c r="F124" s="72">
        <f t="shared" si="13"/>
        <v>0</v>
      </c>
      <c r="G124" s="602">
        <v>0</v>
      </c>
      <c r="H124" s="603">
        <v>0</v>
      </c>
      <c r="I124" s="604">
        <v>0</v>
      </c>
      <c r="J124" s="604">
        <v>0</v>
      </c>
      <c r="K124" s="605">
        <v>0</v>
      </c>
    </row>
    <row r="125" spans="1:11" outlineLevel="2" x14ac:dyDescent="0.3">
      <c r="A125" s="1163"/>
      <c r="B125" s="1156"/>
      <c r="C125" s="1157"/>
      <c r="D125" s="1156"/>
      <c r="E125" s="68" t="s">
        <v>31</v>
      </c>
      <c r="F125" s="72">
        <f t="shared" si="13"/>
        <v>0</v>
      </c>
      <c r="G125" s="602">
        <v>0</v>
      </c>
      <c r="H125" s="603">
        <v>0</v>
      </c>
      <c r="I125" s="604">
        <v>0</v>
      </c>
      <c r="J125" s="604">
        <v>0</v>
      </c>
      <c r="K125" s="605">
        <v>0</v>
      </c>
    </row>
    <row r="126" spans="1:11" outlineLevel="2" x14ac:dyDescent="0.3">
      <c r="A126" s="1163"/>
      <c r="B126" s="1156"/>
      <c r="C126" s="1157"/>
      <c r="D126" s="1156"/>
      <c r="E126" s="68" t="s">
        <v>32</v>
      </c>
      <c r="F126" s="72">
        <f t="shared" si="13"/>
        <v>0</v>
      </c>
      <c r="G126" s="602">
        <v>0</v>
      </c>
      <c r="H126" s="603">
        <v>0</v>
      </c>
      <c r="I126" s="604">
        <v>0</v>
      </c>
      <c r="J126" s="604">
        <v>0</v>
      </c>
      <c r="K126" s="605">
        <v>0</v>
      </c>
    </row>
    <row r="127" spans="1:11" outlineLevel="2" x14ac:dyDescent="0.3">
      <c r="A127" s="1163"/>
      <c r="B127" s="1156"/>
      <c r="C127" s="1157"/>
      <c r="D127" s="1156"/>
      <c r="E127" s="68" t="s">
        <v>33</v>
      </c>
      <c r="F127" s="72">
        <f t="shared" si="13"/>
        <v>0</v>
      </c>
      <c r="G127" s="602">
        <v>0</v>
      </c>
      <c r="H127" s="603">
        <v>0</v>
      </c>
      <c r="I127" s="604">
        <v>0</v>
      </c>
      <c r="J127" s="604">
        <v>0</v>
      </c>
      <c r="K127" s="605">
        <v>0</v>
      </c>
    </row>
    <row r="128" spans="1:11" ht="15" outlineLevel="2" thickBot="1" x14ac:dyDescent="0.35">
      <c r="A128" s="1163"/>
      <c r="B128" s="1156"/>
      <c r="C128" s="1157"/>
      <c r="D128" s="1156"/>
      <c r="E128" s="69" t="s">
        <v>34</v>
      </c>
      <c r="F128" s="73">
        <f t="shared" si="13"/>
        <v>0</v>
      </c>
      <c r="G128" s="607">
        <v>0</v>
      </c>
      <c r="H128" s="608">
        <v>0</v>
      </c>
      <c r="I128" s="609">
        <v>0</v>
      </c>
      <c r="J128" s="609">
        <v>0</v>
      </c>
      <c r="K128" s="610">
        <v>0</v>
      </c>
    </row>
    <row r="129" spans="1:11" ht="15" thickBot="1" x14ac:dyDescent="0.35">
      <c r="A129" s="562" t="s">
        <v>368</v>
      </c>
      <c r="B129" s="17" t="s">
        <v>266</v>
      </c>
      <c r="C129" s="17"/>
      <c r="D129" s="17"/>
      <c r="E129" s="28"/>
      <c r="F129" s="114">
        <f t="shared" ref="F129:K129" si="14">SUM(F130:F149)</f>
        <v>611335.68322580645</v>
      </c>
      <c r="G129" s="616">
        <f t="shared" si="14"/>
        <v>527787.49220214854</v>
      </c>
      <c r="H129" s="616">
        <f t="shared" si="14"/>
        <v>20000.963912997348</v>
      </c>
      <c r="I129" s="617">
        <f t="shared" si="14"/>
        <v>18137.492739935122</v>
      </c>
      <c r="J129" s="617">
        <f t="shared" si="14"/>
        <v>1161.6443676232097</v>
      </c>
      <c r="K129" s="618">
        <f t="shared" si="14"/>
        <v>44248.090003102268</v>
      </c>
    </row>
    <row r="130" spans="1:11" x14ac:dyDescent="0.3">
      <c r="A130" s="1163" t="s">
        <v>335</v>
      </c>
      <c r="B130" s="1156" t="s">
        <v>267</v>
      </c>
      <c r="C130" s="1157"/>
      <c r="D130" s="1157"/>
      <c r="E130" s="67" t="s">
        <v>25</v>
      </c>
      <c r="F130" s="71">
        <f t="shared" ref="F130:F149" si="15">SUM(G130:K130)</f>
        <v>285667.84161290323</v>
      </c>
      <c r="G130" s="597">
        <f>'Rozpočet - vývoj Aplikácií'!$AQ$89*SUM(G$172:G$173)/SUM($F$172:$F$173)*(1+G$179)</f>
        <v>246627.04609700461</v>
      </c>
      <c r="H130" s="598">
        <f>'Rozpočet - vývoj Aplikácií'!$AQ$89*SUM(H$172:H$173)/SUM($F$172:$F$173)*(1+H$179)</f>
        <v>9346.1454123774729</v>
      </c>
      <c r="I130" s="599">
        <f>'Rozpočet - vývoj Aplikácií'!$AQ$89*SUM(I$172:I$173)/SUM($F$172:$F$173)*(1+I$179)</f>
        <v>8475.3737520228715</v>
      </c>
      <c r="J130" s="599">
        <f>'Rozpočet - vývoj Aplikácií'!$AQ$89*SUM(J$172:J$173)/SUM($F$172:$F$173)*(1+J$179)</f>
        <v>542.81869736391013</v>
      </c>
      <c r="K130" s="600">
        <f>'Rozpočet - vývoj Aplikácií'!$AQ$89*SUM(K$172:K$173)/SUM($F$172:$F$173)*(1+K$179)</f>
        <v>20676.457654134396</v>
      </c>
    </row>
    <row r="131" spans="1:11" x14ac:dyDescent="0.3">
      <c r="A131" s="1163"/>
      <c r="B131" s="1156"/>
      <c r="C131" s="1157"/>
      <c r="D131" s="1157"/>
      <c r="E131" s="68" t="s">
        <v>26</v>
      </c>
      <c r="F131" s="72">
        <f t="shared" si="15"/>
        <v>285667.84161290323</v>
      </c>
      <c r="G131" s="602">
        <f>'Rozpočet - vývoj Aplikácií'!$AX$89*SUM(G$172:G$173)/SUM($F$172:$F$173)*(1+G$179)</f>
        <v>246627.04609700461</v>
      </c>
      <c r="H131" s="603">
        <f>'Rozpočet - vývoj Aplikácií'!$AX$89*SUM(H$172:H$173)/SUM($F$172:$F$173)*(1+H$179)</f>
        <v>9346.1454123774729</v>
      </c>
      <c r="I131" s="604">
        <f>'Rozpočet - vývoj Aplikácií'!$AX$89*SUM(I$172:I$173)/SUM($F$172:$F$173)*(1+I$179)</f>
        <v>8475.3737520228715</v>
      </c>
      <c r="J131" s="604">
        <f>'Rozpočet - vývoj Aplikácií'!$AX$89*SUM(J$172:J$173)/SUM($F$172:$F$173)*(1+J$179)</f>
        <v>542.81869736391013</v>
      </c>
      <c r="K131" s="605">
        <f>'Rozpočet - vývoj Aplikácií'!$AX$89*SUM(K$172:K$173)/SUM($F$172:$F$173)*(1+K$179)</f>
        <v>20676.457654134396</v>
      </c>
    </row>
    <row r="132" spans="1:11" x14ac:dyDescent="0.3">
      <c r="A132" s="1163"/>
      <c r="B132" s="1156"/>
      <c r="C132" s="1157"/>
      <c r="D132" s="1157"/>
      <c r="E132" s="68" t="s">
        <v>27</v>
      </c>
      <c r="F132" s="72">
        <f t="shared" si="15"/>
        <v>0</v>
      </c>
      <c r="G132" s="602">
        <v>0</v>
      </c>
      <c r="H132" s="603">
        <v>0</v>
      </c>
      <c r="I132" s="604">
        <v>0</v>
      </c>
      <c r="J132" s="604">
        <v>0</v>
      </c>
      <c r="K132" s="605">
        <v>0</v>
      </c>
    </row>
    <row r="133" spans="1:11" x14ac:dyDescent="0.3">
      <c r="A133" s="1163"/>
      <c r="B133" s="1156"/>
      <c r="C133" s="1157"/>
      <c r="D133" s="1157"/>
      <c r="E133" s="68" t="s">
        <v>28</v>
      </c>
      <c r="F133" s="72">
        <f t="shared" si="15"/>
        <v>0</v>
      </c>
      <c r="G133" s="602">
        <v>0</v>
      </c>
      <c r="H133" s="603">
        <v>0</v>
      </c>
      <c r="I133" s="604">
        <v>0</v>
      </c>
      <c r="J133" s="604">
        <v>0</v>
      </c>
      <c r="K133" s="605">
        <v>0</v>
      </c>
    </row>
    <row r="134" spans="1:11" x14ac:dyDescent="0.3">
      <c r="A134" s="1163"/>
      <c r="B134" s="1156"/>
      <c r="C134" s="1157"/>
      <c r="D134" s="1157"/>
      <c r="E134" s="68" t="s">
        <v>29</v>
      </c>
      <c r="F134" s="72">
        <f t="shared" si="15"/>
        <v>0</v>
      </c>
      <c r="G134" s="602">
        <v>0</v>
      </c>
      <c r="H134" s="603">
        <v>0</v>
      </c>
      <c r="I134" s="604">
        <v>0</v>
      </c>
      <c r="J134" s="604">
        <v>0</v>
      </c>
      <c r="K134" s="605">
        <v>0</v>
      </c>
    </row>
    <row r="135" spans="1:11" x14ac:dyDescent="0.3">
      <c r="A135" s="1163"/>
      <c r="B135" s="1156"/>
      <c r="C135" s="1157"/>
      <c r="D135" s="1157"/>
      <c r="E135" s="68" t="s">
        <v>30</v>
      </c>
      <c r="F135" s="72">
        <f t="shared" si="15"/>
        <v>0</v>
      </c>
      <c r="G135" s="602">
        <v>0</v>
      </c>
      <c r="H135" s="603">
        <v>0</v>
      </c>
      <c r="I135" s="604">
        <v>0</v>
      </c>
      <c r="J135" s="604">
        <v>0</v>
      </c>
      <c r="K135" s="605">
        <v>0</v>
      </c>
    </row>
    <row r="136" spans="1:11" x14ac:dyDescent="0.3">
      <c r="A136" s="1163"/>
      <c r="B136" s="1156"/>
      <c r="C136" s="1157"/>
      <c r="D136" s="1157"/>
      <c r="E136" s="68" t="s">
        <v>31</v>
      </c>
      <c r="F136" s="72">
        <f t="shared" si="15"/>
        <v>0</v>
      </c>
      <c r="G136" s="602">
        <v>0</v>
      </c>
      <c r="H136" s="603">
        <v>0</v>
      </c>
      <c r="I136" s="604">
        <v>0</v>
      </c>
      <c r="J136" s="604">
        <v>0</v>
      </c>
      <c r="K136" s="605">
        <v>0</v>
      </c>
    </row>
    <row r="137" spans="1:11" x14ac:dyDescent="0.3">
      <c r="A137" s="1163"/>
      <c r="B137" s="1156"/>
      <c r="C137" s="1157"/>
      <c r="D137" s="1157"/>
      <c r="E137" s="68" t="s">
        <v>32</v>
      </c>
      <c r="F137" s="72">
        <f t="shared" si="15"/>
        <v>0</v>
      </c>
      <c r="G137" s="602">
        <v>0</v>
      </c>
      <c r="H137" s="603">
        <v>0</v>
      </c>
      <c r="I137" s="604">
        <v>0</v>
      </c>
      <c r="J137" s="604">
        <v>0</v>
      </c>
      <c r="K137" s="605">
        <v>0</v>
      </c>
    </row>
    <row r="138" spans="1:11" x14ac:dyDescent="0.3">
      <c r="A138" s="1163"/>
      <c r="B138" s="1156"/>
      <c r="C138" s="1157"/>
      <c r="D138" s="1157"/>
      <c r="E138" s="68" t="s">
        <v>33</v>
      </c>
      <c r="F138" s="72">
        <f t="shared" si="15"/>
        <v>0</v>
      </c>
      <c r="G138" s="602">
        <v>0</v>
      </c>
      <c r="H138" s="603">
        <v>0</v>
      </c>
      <c r="I138" s="604">
        <v>0</v>
      </c>
      <c r="J138" s="604">
        <v>0</v>
      </c>
      <c r="K138" s="605">
        <v>0</v>
      </c>
    </row>
    <row r="139" spans="1:11" ht="15" thickBot="1" x14ac:dyDescent="0.35">
      <c r="A139" s="1163"/>
      <c r="B139" s="1156"/>
      <c r="C139" s="1157"/>
      <c r="D139" s="1157"/>
      <c r="E139" s="69" t="s">
        <v>34</v>
      </c>
      <c r="F139" s="73">
        <f t="shared" si="15"/>
        <v>0</v>
      </c>
      <c r="G139" s="607">
        <v>0</v>
      </c>
      <c r="H139" s="608">
        <v>0</v>
      </c>
      <c r="I139" s="609">
        <v>0</v>
      </c>
      <c r="J139" s="609">
        <v>0</v>
      </c>
      <c r="K139" s="610">
        <v>0</v>
      </c>
    </row>
    <row r="140" spans="1:11" x14ac:dyDescent="0.3">
      <c r="A140" s="1163" t="s">
        <v>336</v>
      </c>
      <c r="B140" s="1156" t="s">
        <v>147</v>
      </c>
      <c r="C140" s="1157"/>
      <c r="D140" s="1156" t="s">
        <v>360</v>
      </c>
      <c r="E140" s="67" t="s">
        <v>25</v>
      </c>
      <c r="F140" s="72">
        <f t="shared" si="15"/>
        <v>20000</v>
      </c>
      <c r="G140" s="597">
        <f>20000*SUM(G$172:G$173)/SUM($F$172:$F$173)*(1+G$179)</f>
        <v>17266.700004069677</v>
      </c>
      <c r="H140" s="597">
        <f t="shared" ref="H140:K141" si="16">20000*SUM(H$172:H$173)/SUM($F$172:$F$173)*(1+H$179)</f>
        <v>654.33654412120018</v>
      </c>
      <c r="I140" s="597">
        <f t="shared" si="16"/>
        <v>593.37261794468986</v>
      </c>
      <c r="J140" s="597">
        <f t="shared" si="16"/>
        <v>38.003486447694833</v>
      </c>
      <c r="K140" s="597">
        <f t="shared" si="16"/>
        <v>1447.5873474167399</v>
      </c>
    </row>
    <row r="141" spans="1:11" x14ac:dyDescent="0.3">
      <c r="A141" s="1163"/>
      <c r="B141" s="1156"/>
      <c r="C141" s="1157"/>
      <c r="D141" s="1156"/>
      <c r="E141" s="68" t="s">
        <v>26</v>
      </c>
      <c r="F141" s="72">
        <f t="shared" si="15"/>
        <v>20000</v>
      </c>
      <c r="G141" s="602">
        <f>20000*SUM(G$172:G$173)/SUM($F$172:$F$173)*(1+G$179)</f>
        <v>17266.700004069677</v>
      </c>
      <c r="H141" s="602">
        <f t="shared" si="16"/>
        <v>654.33654412120018</v>
      </c>
      <c r="I141" s="602">
        <f t="shared" si="16"/>
        <v>593.37261794468986</v>
      </c>
      <c r="J141" s="602">
        <f t="shared" si="16"/>
        <v>38.003486447694833</v>
      </c>
      <c r="K141" s="602">
        <f t="shared" si="16"/>
        <v>1447.5873474167399</v>
      </c>
    </row>
    <row r="142" spans="1:11" x14ac:dyDescent="0.3">
      <c r="A142" s="1163"/>
      <c r="B142" s="1156"/>
      <c r="C142" s="1157"/>
      <c r="D142" s="1156"/>
      <c r="E142" s="68" t="s">
        <v>27</v>
      </c>
      <c r="F142" s="72">
        <f t="shared" si="15"/>
        <v>0</v>
      </c>
      <c r="G142" s="602">
        <v>0</v>
      </c>
      <c r="H142" s="603">
        <v>0</v>
      </c>
      <c r="I142" s="604">
        <v>0</v>
      </c>
      <c r="J142" s="604">
        <v>0</v>
      </c>
      <c r="K142" s="605">
        <v>0</v>
      </c>
    </row>
    <row r="143" spans="1:11" x14ac:dyDescent="0.3">
      <c r="A143" s="1163"/>
      <c r="B143" s="1156"/>
      <c r="C143" s="1157"/>
      <c r="D143" s="1156"/>
      <c r="E143" s="68" t="s">
        <v>28</v>
      </c>
      <c r="F143" s="72">
        <f t="shared" si="15"/>
        <v>0</v>
      </c>
      <c r="G143" s="602">
        <v>0</v>
      </c>
      <c r="H143" s="603">
        <v>0</v>
      </c>
      <c r="I143" s="604">
        <v>0</v>
      </c>
      <c r="J143" s="604">
        <v>0</v>
      </c>
      <c r="K143" s="605">
        <v>0</v>
      </c>
    </row>
    <row r="144" spans="1:11" x14ac:dyDescent="0.3">
      <c r="A144" s="1163"/>
      <c r="B144" s="1156"/>
      <c r="C144" s="1157"/>
      <c r="D144" s="1156"/>
      <c r="E144" s="68" t="s">
        <v>29</v>
      </c>
      <c r="F144" s="72">
        <f t="shared" si="15"/>
        <v>0</v>
      </c>
      <c r="G144" s="602">
        <v>0</v>
      </c>
      <c r="H144" s="603">
        <v>0</v>
      </c>
      <c r="I144" s="604">
        <v>0</v>
      </c>
      <c r="J144" s="604">
        <v>0</v>
      </c>
      <c r="K144" s="605">
        <v>0</v>
      </c>
    </row>
    <row r="145" spans="1:11" x14ac:dyDescent="0.3">
      <c r="A145" s="1163"/>
      <c r="B145" s="1156"/>
      <c r="C145" s="1157"/>
      <c r="D145" s="1156"/>
      <c r="E145" s="68" t="s">
        <v>30</v>
      </c>
      <c r="F145" s="72">
        <f t="shared" si="15"/>
        <v>0</v>
      </c>
      <c r="G145" s="602">
        <v>0</v>
      </c>
      <c r="H145" s="603">
        <v>0</v>
      </c>
      <c r="I145" s="604">
        <v>0</v>
      </c>
      <c r="J145" s="604">
        <v>0</v>
      </c>
      <c r="K145" s="605">
        <v>0</v>
      </c>
    </row>
    <row r="146" spans="1:11" x14ac:dyDescent="0.3">
      <c r="A146" s="1163"/>
      <c r="B146" s="1156"/>
      <c r="C146" s="1157"/>
      <c r="D146" s="1156"/>
      <c r="E146" s="68" t="s">
        <v>31</v>
      </c>
      <c r="F146" s="72">
        <f t="shared" si="15"/>
        <v>0</v>
      </c>
      <c r="G146" s="602">
        <v>0</v>
      </c>
      <c r="H146" s="603">
        <v>0</v>
      </c>
      <c r="I146" s="604">
        <v>0</v>
      </c>
      <c r="J146" s="604">
        <v>0</v>
      </c>
      <c r="K146" s="605">
        <v>0</v>
      </c>
    </row>
    <row r="147" spans="1:11" x14ac:dyDescent="0.3">
      <c r="A147" s="1163"/>
      <c r="B147" s="1156"/>
      <c r="C147" s="1157"/>
      <c r="D147" s="1156"/>
      <c r="E147" s="68" t="s">
        <v>32</v>
      </c>
      <c r="F147" s="72">
        <f t="shared" si="15"/>
        <v>0</v>
      </c>
      <c r="G147" s="602">
        <v>0</v>
      </c>
      <c r="H147" s="603">
        <v>0</v>
      </c>
      <c r="I147" s="604">
        <v>0</v>
      </c>
      <c r="J147" s="604">
        <v>0</v>
      </c>
      <c r="K147" s="605">
        <v>0</v>
      </c>
    </row>
    <row r="148" spans="1:11" x14ac:dyDescent="0.3">
      <c r="A148" s="1163"/>
      <c r="B148" s="1156"/>
      <c r="C148" s="1157"/>
      <c r="D148" s="1156"/>
      <c r="E148" s="68" t="s">
        <v>33</v>
      </c>
      <c r="F148" s="72">
        <f t="shared" si="15"/>
        <v>0</v>
      </c>
      <c r="G148" s="602">
        <v>0</v>
      </c>
      <c r="H148" s="603">
        <v>0</v>
      </c>
      <c r="I148" s="604">
        <v>0</v>
      </c>
      <c r="J148" s="604">
        <v>0</v>
      </c>
      <c r="K148" s="605">
        <v>0</v>
      </c>
    </row>
    <row r="149" spans="1:11" ht="15" thickBot="1" x14ac:dyDescent="0.35">
      <c r="A149" s="1163"/>
      <c r="B149" s="1156"/>
      <c r="C149" s="1157"/>
      <c r="D149" s="1156"/>
      <c r="E149" s="69" t="s">
        <v>34</v>
      </c>
      <c r="F149" s="73">
        <f t="shared" si="15"/>
        <v>0</v>
      </c>
      <c r="G149" s="607">
        <v>0</v>
      </c>
      <c r="H149" s="608">
        <v>0</v>
      </c>
      <c r="I149" s="609">
        <v>0</v>
      </c>
      <c r="J149" s="609">
        <v>0</v>
      </c>
      <c r="K149" s="610">
        <v>0</v>
      </c>
    </row>
    <row r="150" spans="1:11" ht="15" thickBot="1" x14ac:dyDescent="0.35">
      <c r="A150" s="562" t="s">
        <v>369</v>
      </c>
      <c r="B150" s="1154" t="s">
        <v>292</v>
      </c>
      <c r="C150" s="1155"/>
      <c r="D150" s="1155"/>
      <c r="E150" s="79"/>
      <c r="F150" s="77">
        <f t="shared" ref="F150:K150" si="17">SUM(F151:F170)</f>
        <v>0</v>
      </c>
      <c r="G150" s="575">
        <f t="shared" si="17"/>
        <v>0</v>
      </c>
      <c r="H150" s="575">
        <f t="shared" si="17"/>
        <v>0</v>
      </c>
      <c r="I150" s="576">
        <f t="shared" si="17"/>
        <v>0</v>
      </c>
      <c r="J150" s="576">
        <f t="shared" si="17"/>
        <v>0</v>
      </c>
      <c r="K150" s="577">
        <f t="shared" si="17"/>
        <v>0</v>
      </c>
    </row>
    <row r="151" spans="1:11" x14ac:dyDescent="0.3">
      <c r="A151" s="1163" t="s">
        <v>337</v>
      </c>
      <c r="B151" s="1156" t="s">
        <v>294</v>
      </c>
      <c r="C151" s="1157" t="s">
        <v>78</v>
      </c>
      <c r="D151" s="1157" t="s">
        <v>343</v>
      </c>
      <c r="E151" s="67" t="s">
        <v>25</v>
      </c>
      <c r="F151" s="64">
        <f t="shared" ref="F151:F170" si="18">SUM(G151:K151)</f>
        <v>0</v>
      </c>
      <c r="G151" s="579">
        <v>0</v>
      </c>
      <c r="H151" s="580">
        <v>0</v>
      </c>
      <c r="I151" s="581">
        <v>0</v>
      </c>
      <c r="J151" s="581">
        <v>0</v>
      </c>
      <c r="K151" s="582">
        <v>0</v>
      </c>
    </row>
    <row r="152" spans="1:11" x14ac:dyDescent="0.3">
      <c r="A152" s="1163"/>
      <c r="B152" s="1156"/>
      <c r="C152" s="1157"/>
      <c r="D152" s="1157"/>
      <c r="E152" s="68" t="s">
        <v>26</v>
      </c>
      <c r="F152" s="65">
        <f t="shared" si="18"/>
        <v>0</v>
      </c>
      <c r="G152" s="584">
        <v>0</v>
      </c>
      <c r="H152" s="585">
        <v>0</v>
      </c>
      <c r="I152" s="586">
        <v>0</v>
      </c>
      <c r="J152" s="586">
        <v>0</v>
      </c>
      <c r="K152" s="587">
        <v>0</v>
      </c>
    </row>
    <row r="153" spans="1:11" x14ac:dyDescent="0.3">
      <c r="A153" s="1163"/>
      <c r="B153" s="1156"/>
      <c r="C153" s="1157"/>
      <c r="D153" s="1157"/>
      <c r="E153" s="68" t="s">
        <v>27</v>
      </c>
      <c r="F153" s="65">
        <f t="shared" si="18"/>
        <v>0</v>
      </c>
      <c r="G153" s="584">
        <v>0</v>
      </c>
      <c r="H153" s="585">
        <v>0</v>
      </c>
      <c r="I153" s="586">
        <v>0</v>
      </c>
      <c r="J153" s="586">
        <v>0</v>
      </c>
      <c r="K153" s="587">
        <v>0</v>
      </c>
    </row>
    <row r="154" spans="1:11" x14ac:dyDescent="0.3">
      <c r="A154" s="1163"/>
      <c r="B154" s="1156"/>
      <c r="C154" s="1157"/>
      <c r="D154" s="1157"/>
      <c r="E154" s="68" t="s">
        <v>28</v>
      </c>
      <c r="F154" s="65">
        <f t="shared" si="18"/>
        <v>0</v>
      </c>
      <c r="G154" s="584">
        <v>0</v>
      </c>
      <c r="H154" s="585">
        <v>0</v>
      </c>
      <c r="I154" s="586">
        <v>0</v>
      </c>
      <c r="J154" s="586">
        <v>0</v>
      </c>
      <c r="K154" s="587">
        <v>0</v>
      </c>
    </row>
    <row r="155" spans="1:11" x14ac:dyDescent="0.3">
      <c r="A155" s="1163"/>
      <c r="B155" s="1156"/>
      <c r="C155" s="1157"/>
      <c r="D155" s="1157"/>
      <c r="E155" s="68" t="s">
        <v>29</v>
      </c>
      <c r="F155" s="65">
        <f t="shared" si="18"/>
        <v>0</v>
      </c>
      <c r="G155" s="584">
        <v>0</v>
      </c>
      <c r="H155" s="585">
        <v>0</v>
      </c>
      <c r="I155" s="586">
        <v>0</v>
      </c>
      <c r="J155" s="586">
        <v>0</v>
      </c>
      <c r="K155" s="587">
        <v>0</v>
      </c>
    </row>
    <row r="156" spans="1:11" x14ac:dyDescent="0.3">
      <c r="A156" s="1163"/>
      <c r="B156" s="1156"/>
      <c r="C156" s="1157"/>
      <c r="D156" s="1157"/>
      <c r="E156" s="68" t="s">
        <v>30</v>
      </c>
      <c r="F156" s="65">
        <f t="shared" si="18"/>
        <v>0</v>
      </c>
      <c r="G156" s="584">
        <v>0</v>
      </c>
      <c r="H156" s="585">
        <v>0</v>
      </c>
      <c r="I156" s="586">
        <v>0</v>
      </c>
      <c r="J156" s="586">
        <v>0</v>
      </c>
      <c r="K156" s="587">
        <v>0</v>
      </c>
    </row>
    <row r="157" spans="1:11" x14ac:dyDescent="0.3">
      <c r="A157" s="1163"/>
      <c r="B157" s="1156"/>
      <c r="C157" s="1157"/>
      <c r="D157" s="1157"/>
      <c r="E157" s="68" t="s">
        <v>31</v>
      </c>
      <c r="F157" s="65">
        <f t="shared" si="18"/>
        <v>0</v>
      </c>
      <c r="G157" s="584">
        <v>0</v>
      </c>
      <c r="H157" s="585">
        <v>0</v>
      </c>
      <c r="I157" s="586">
        <v>0</v>
      </c>
      <c r="J157" s="586">
        <v>0</v>
      </c>
      <c r="K157" s="587">
        <v>0</v>
      </c>
    </row>
    <row r="158" spans="1:11" x14ac:dyDescent="0.3">
      <c r="A158" s="1163"/>
      <c r="B158" s="1156"/>
      <c r="C158" s="1157"/>
      <c r="D158" s="1157"/>
      <c r="E158" s="68" t="s">
        <v>32</v>
      </c>
      <c r="F158" s="65">
        <f t="shared" si="18"/>
        <v>0</v>
      </c>
      <c r="G158" s="584">
        <v>0</v>
      </c>
      <c r="H158" s="585">
        <v>0</v>
      </c>
      <c r="I158" s="586">
        <v>0</v>
      </c>
      <c r="J158" s="586">
        <v>0</v>
      </c>
      <c r="K158" s="587">
        <v>0</v>
      </c>
    </row>
    <row r="159" spans="1:11" x14ac:dyDescent="0.3">
      <c r="A159" s="1163"/>
      <c r="B159" s="1156"/>
      <c r="C159" s="1157"/>
      <c r="D159" s="1157"/>
      <c r="E159" s="68" t="s">
        <v>33</v>
      </c>
      <c r="F159" s="65">
        <f t="shared" si="18"/>
        <v>0</v>
      </c>
      <c r="G159" s="584">
        <v>0</v>
      </c>
      <c r="H159" s="585">
        <v>0</v>
      </c>
      <c r="I159" s="586">
        <v>0</v>
      </c>
      <c r="J159" s="586">
        <v>0</v>
      </c>
      <c r="K159" s="587">
        <v>0</v>
      </c>
    </row>
    <row r="160" spans="1:11" ht="15" thickBot="1" x14ac:dyDescent="0.35">
      <c r="A160" s="1163"/>
      <c r="B160" s="1156"/>
      <c r="C160" s="1157"/>
      <c r="D160" s="1157"/>
      <c r="E160" s="69" t="s">
        <v>34</v>
      </c>
      <c r="F160" s="66">
        <f t="shared" si="18"/>
        <v>0</v>
      </c>
      <c r="G160" s="588">
        <v>0</v>
      </c>
      <c r="H160" s="589">
        <v>0</v>
      </c>
      <c r="I160" s="590">
        <v>0</v>
      </c>
      <c r="J160" s="590">
        <v>0</v>
      </c>
      <c r="K160" s="591">
        <v>0</v>
      </c>
    </row>
    <row r="161" spans="1:11" x14ac:dyDescent="0.3">
      <c r="A161" s="1163" t="s">
        <v>338</v>
      </c>
      <c r="B161" s="1156" t="s">
        <v>293</v>
      </c>
      <c r="C161" s="1157"/>
      <c r="D161" s="1156" t="s">
        <v>361</v>
      </c>
      <c r="E161" s="67" t="s">
        <v>25</v>
      </c>
      <c r="F161" s="65">
        <f t="shared" si="18"/>
        <v>0</v>
      </c>
      <c r="G161" s="579">
        <v>0</v>
      </c>
      <c r="H161" s="580">
        <v>0</v>
      </c>
      <c r="I161" s="581">
        <v>0</v>
      </c>
      <c r="J161" s="581">
        <v>0</v>
      </c>
      <c r="K161" s="582">
        <v>0</v>
      </c>
    </row>
    <row r="162" spans="1:11" x14ac:dyDescent="0.3">
      <c r="A162" s="1163"/>
      <c r="B162" s="1156"/>
      <c r="C162" s="1157"/>
      <c r="D162" s="1156"/>
      <c r="E162" s="68" t="s">
        <v>26</v>
      </c>
      <c r="F162" s="65">
        <f t="shared" si="18"/>
        <v>0</v>
      </c>
      <c r="G162" s="584">
        <v>0</v>
      </c>
      <c r="H162" s="585">
        <v>0</v>
      </c>
      <c r="I162" s="586">
        <v>0</v>
      </c>
      <c r="J162" s="586">
        <v>0</v>
      </c>
      <c r="K162" s="587">
        <v>0</v>
      </c>
    </row>
    <row r="163" spans="1:11" x14ac:dyDescent="0.3">
      <c r="A163" s="1163"/>
      <c r="B163" s="1156"/>
      <c r="C163" s="1157"/>
      <c r="D163" s="1156"/>
      <c r="E163" s="68" t="s">
        <v>27</v>
      </c>
      <c r="F163" s="65">
        <f t="shared" si="18"/>
        <v>0</v>
      </c>
      <c r="G163" s="584">
        <v>0</v>
      </c>
      <c r="H163" s="585">
        <v>0</v>
      </c>
      <c r="I163" s="586">
        <v>0</v>
      </c>
      <c r="J163" s="586">
        <v>0</v>
      </c>
      <c r="K163" s="587">
        <v>0</v>
      </c>
    </row>
    <row r="164" spans="1:11" x14ac:dyDescent="0.3">
      <c r="A164" s="1163"/>
      <c r="B164" s="1156"/>
      <c r="C164" s="1157"/>
      <c r="D164" s="1156"/>
      <c r="E164" s="68" t="s">
        <v>28</v>
      </c>
      <c r="F164" s="65">
        <f t="shared" si="18"/>
        <v>0</v>
      </c>
      <c r="G164" s="584">
        <v>0</v>
      </c>
      <c r="H164" s="585">
        <v>0</v>
      </c>
      <c r="I164" s="586">
        <v>0</v>
      </c>
      <c r="J164" s="586">
        <v>0</v>
      </c>
      <c r="K164" s="587">
        <v>0</v>
      </c>
    </row>
    <row r="165" spans="1:11" x14ac:dyDescent="0.3">
      <c r="A165" s="1163"/>
      <c r="B165" s="1156"/>
      <c r="C165" s="1157"/>
      <c r="D165" s="1156"/>
      <c r="E165" s="68" t="s">
        <v>29</v>
      </c>
      <c r="F165" s="65">
        <f t="shared" si="18"/>
        <v>0</v>
      </c>
      <c r="G165" s="584">
        <v>0</v>
      </c>
      <c r="H165" s="585">
        <v>0</v>
      </c>
      <c r="I165" s="586">
        <v>0</v>
      </c>
      <c r="J165" s="586">
        <v>0</v>
      </c>
      <c r="K165" s="587">
        <v>0</v>
      </c>
    </row>
    <row r="166" spans="1:11" x14ac:dyDescent="0.3">
      <c r="A166" s="1163"/>
      <c r="B166" s="1156"/>
      <c r="C166" s="1157"/>
      <c r="D166" s="1156"/>
      <c r="E166" s="68" t="s">
        <v>30</v>
      </c>
      <c r="F166" s="65">
        <f t="shared" si="18"/>
        <v>0</v>
      </c>
      <c r="G166" s="584">
        <v>0</v>
      </c>
      <c r="H166" s="585">
        <v>0</v>
      </c>
      <c r="I166" s="586">
        <v>0</v>
      </c>
      <c r="J166" s="586">
        <v>0</v>
      </c>
      <c r="K166" s="587">
        <v>0</v>
      </c>
    </row>
    <row r="167" spans="1:11" x14ac:dyDescent="0.3">
      <c r="A167" s="1163"/>
      <c r="B167" s="1156"/>
      <c r="C167" s="1157"/>
      <c r="D167" s="1156"/>
      <c r="E167" s="68" t="s">
        <v>31</v>
      </c>
      <c r="F167" s="65">
        <f t="shared" si="18"/>
        <v>0</v>
      </c>
      <c r="G167" s="584">
        <v>0</v>
      </c>
      <c r="H167" s="585">
        <v>0</v>
      </c>
      <c r="I167" s="586">
        <v>0</v>
      </c>
      <c r="J167" s="586">
        <v>0</v>
      </c>
      <c r="K167" s="587">
        <v>0</v>
      </c>
    </row>
    <row r="168" spans="1:11" x14ac:dyDescent="0.3">
      <c r="A168" s="1163"/>
      <c r="B168" s="1156"/>
      <c r="C168" s="1157"/>
      <c r="D168" s="1156"/>
      <c r="E168" s="68" t="s">
        <v>32</v>
      </c>
      <c r="F168" s="65">
        <f t="shared" si="18"/>
        <v>0</v>
      </c>
      <c r="G168" s="584">
        <v>0</v>
      </c>
      <c r="H168" s="585">
        <v>0</v>
      </c>
      <c r="I168" s="586">
        <v>0</v>
      </c>
      <c r="J168" s="586">
        <v>0</v>
      </c>
      <c r="K168" s="587">
        <v>0</v>
      </c>
    </row>
    <row r="169" spans="1:11" x14ac:dyDescent="0.3">
      <c r="A169" s="1163"/>
      <c r="B169" s="1156"/>
      <c r="C169" s="1157"/>
      <c r="D169" s="1156"/>
      <c r="E169" s="68" t="s">
        <v>33</v>
      </c>
      <c r="F169" s="65">
        <f t="shared" si="18"/>
        <v>0</v>
      </c>
      <c r="G169" s="584">
        <v>0</v>
      </c>
      <c r="H169" s="585">
        <v>0</v>
      </c>
      <c r="I169" s="586">
        <v>0</v>
      </c>
      <c r="J169" s="586">
        <v>0</v>
      </c>
      <c r="K169" s="587">
        <v>0</v>
      </c>
    </row>
    <row r="170" spans="1:11" ht="15" thickBot="1" x14ac:dyDescent="0.35">
      <c r="A170" s="1163"/>
      <c r="B170" s="1156"/>
      <c r="C170" s="1157"/>
      <c r="D170" s="1156"/>
      <c r="E170" s="69" t="s">
        <v>34</v>
      </c>
      <c r="F170" s="66">
        <f t="shared" si="18"/>
        <v>0</v>
      </c>
      <c r="G170" s="588">
        <v>0</v>
      </c>
      <c r="H170" s="589">
        <v>0</v>
      </c>
      <c r="I170" s="590">
        <v>0</v>
      </c>
      <c r="J170" s="590">
        <v>0</v>
      </c>
      <c r="K170" s="591">
        <v>0</v>
      </c>
    </row>
    <row r="172" spans="1:11" x14ac:dyDescent="0.3">
      <c r="A172" s="562" t="s">
        <v>329</v>
      </c>
      <c r="B172" t="s">
        <v>116</v>
      </c>
      <c r="E172" s="626">
        <f>SUM(G172:J172)</f>
        <v>7188359.2200000025</v>
      </c>
      <c r="F172" s="626">
        <f>F3</f>
        <v>7821887.2200000025</v>
      </c>
      <c r="G172" s="626">
        <f t="shared" ref="G172:K172" si="19">G3</f>
        <v>6625674.7200000025</v>
      </c>
      <c r="H172" s="626">
        <f t="shared" si="19"/>
        <v>286366.5</v>
      </c>
      <c r="I172" s="626">
        <f t="shared" si="19"/>
        <v>259686</v>
      </c>
      <c r="J172" s="626">
        <f t="shared" si="19"/>
        <v>16632</v>
      </c>
      <c r="K172" s="626">
        <f t="shared" si="19"/>
        <v>633528</v>
      </c>
    </row>
    <row r="173" spans="1:11" x14ac:dyDescent="0.3">
      <c r="A173" s="562" t="s">
        <v>332</v>
      </c>
      <c r="B173" t="s">
        <v>79</v>
      </c>
      <c r="E173" s="626">
        <f>SUM(G173:J173)</f>
        <v>4467768.8087027883</v>
      </c>
      <c r="F173" s="626">
        <f>F56</f>
        <v>4743732.4080000008</v>
      </c>
      <c r="G173" s="626">
        <f t="shared" ref="G173:K173" si="20">G56</f>
        <v>4222664.5040962808</v>
      </c>
      <c r="H173" s="626">
        <f t="shared" si="20"/>
        <v>124740.70610635211</v>
      </c>
      <c r="I173" s="626">
        <f t="shared" si="20"/>
        <v>113118.7307381771</v>
      </c>
      <c r="J173" s="626">
        <f t="shared" si="20"/>
        <v>7244.8677619793161</v>
      </c>
      <c r="K173" s="626">
        <f t="shared" si="20"/>
        <v>275963.59929721215</v>
      </c>
    </row>
    <row r="174" spans="1:11" x14ac:dyDescent="0.3">
      <c r="A174" s="562" t="s">
        <v>368</v>
      </c>
      <c r="B174" t="s">
        <v>266</v>
      </c>
      <c r="E174" s="626">
        <f>SUM(G174:J174)</f>
        <v>567087.59322270437</v>
      </c>
      <c r="F174" s="626">
        <f>F129</f>
        <v>611335.68322580645</v>
      </c>
      <c r="G174" s="626">
        <f t="shared" ref="G174:K174" si="21">G129</f>
        <v>527787.49220214854</v>
      </c>
      <c r="H174" s="626">
        <f t="shared" si="21"/>
        <v>20000.963912997348</v>
      </c>
      <c r="I174" s="626">
        <f t="shared" si="21"/>
        <v>18137.492739935122</v>
      </c>
      <c r="J174" s="626">
        <f t="shared" si="21"/>
        <v>1161.6443676232097</v>
      </c>
      <c r="K174" s="626">
        <f t="shared" si="21"/>
        <v>44248.090003102268</v>
      </c>
    </row>
    <row r="175" spans="1:11" x14ac:dyDescent="0.3">
      <c r="A175" s="562" t="s">
        <v>369</v>
      </c>
      <c r="B175" t="s">
        <v>292</v>
      </c>
      <c r="E175" s="626">
        <f>SUM(G175:J175)</f>
        <v>0</v>
      </c>
      <c r="F175" s="626">
        <f>F150</f>
        <v>0</v>
      </c>
      <c r="G175" s="626">
        <f t="shared" ref="G175:K175" si="22">G150</f>
        <v>0</v>
      </c>
      <c r="H175" s="626">
        <f t="shared" si="22"/>
        <v>0</v>
      </c>
      <c r="I175" s="626">
        <f t="shared" si="22"/>
        <v>0</v>
      </c>
      <c r="J175" s="626">
        <f t="shared" si="22"/>
        <v>0</v>
      </c>
      <c r="K175" s="626">
        <f t="shared" si="22"/>
        <v>0</v>
      </c>
    </row>
    <row r="176" spans="1:11" x14ac:dyDescent="0.3">
      <c r="E176" s="626">
        <f>SUM(E172:E175)</f>
        <v>12223215.621925496</v>
      </c>
      <c r="F176" s="626">
        <f>SUM(F172:F175)</f>
        <v>13176955.311225809</v>
      </c>
      <c r="G176" s="626">
        <f t="shared" ref="G176:K176" si="23">SUM(G172:G175)</f>
        <v>11376126.716298431</v>
      </c>
      <c r="H176" s="626">
        <f t="shared" si="23"/>
        <v>431108.17001934943</v>
      </c>
      <c r="I176" s="626">
        <f t="shared" si="23"/>
        <v>390942.2234781122</v>
      </c>
      <c r="J176" s="626">
        <f t="shared" si="23"/>
        <v>25038.512129602525</v>
      </c>
      <c r="K176" s="626">
        <f t="shared" si="23"/>
        <v>953739.68930031452</v>
      </c>
    </row>
    <row r="177" spans="5:11" x14ac:dyDescent="0.3">
      <c r="E177" s="626">
        <f>SUM(G177:J177)</f>
        <v>12223215.621925496</v>
      </c>
      <c r="G177" s="626">
        <f>G3+G56+G129+G150</f>
        <v>11376126.716298431</v>
      </c>
      <c r="H177" s="626">
        <f t="shared" ref="H177:J177" si="24">H3+H56+H129+H150</f>
        <v>431108.17001934943</v>
      </c>
      <c r="I177" s="626">
        <f t="shared" si="24"/>
        <v>390942.2234781122</v>
      </c>
      <c r="J177" s="626">
        <f t="shared" si="24"/>
        <v>25038.512129602525</v>
      </c>
      <c r="K177" s="626"/>
    </row>
    <row r="179" spans="5:11" x14ac:dyDescent="0.3">
      <c r="F179" s="764" t="s">
        <v>565</v>
      </c>
      <c r="G179" s="765">
        <v>0</v>
      </c>
      <c r="H179" s="765">
        <f t="shared" ref="H179:K179" si="25">$G$179</f>
        <v>0</v>
      </c>
      <c r="I179" s="765">
        <f t="shared" si="25"/>
        <v>0</v>
      </c>
      <c r="J179" s="765">
        <f t="shared" si="25"/>
        <v>0</v>
      </c>
      <c r="K179" s="765">
        <f t="shared" si="25"/>
        <v>0</v>
      </c>
    </row>
  </sheetData>
  <autoFilter ref="G1:G170"/>
  <mergeCells count="68">
    <mergeCell ref="A161:A170"/>
    <mergeCell ref="A109:A118"/>
    <mergeCell ref="A119:A128"/>
    <mergeCell ref="A130:A139"/>
    <mergeCell ref="A140:A149"/>
    <mergeCell ref="A151:A160"/>
    <mergeCell ref="A58:A67"/>
    <mergeCell ref="A68:A77"/>
    <mergeCell ref="A79:A88"/>
    <mergeCell ref="A89:A98"/>
    <mergeCell ref="A99:A108"/>
    <mergeCell ref="A5:A14"/>
    <mergeCell ref="A15:A24"/>
    <mergeCell ref="A26:A35"/>
    <mergeCell ref="A36:A45"/>
    <mergeCell ref="A46:A55"/>
    <mergeCell ref="B130:B139"/>
    <mergeCell ref="C130:C139"/>
    <mergeCell ref="D130:D139"/>
    <mergeCell ref="B140:B149"/>
    <mergeCell ref="C140:C149"/>
    <mergeCell ref="D140:D149"/>
    <mergeCell ref="B119:B128"/>
    <mergeCell ref="C119:C128"/>
    <mergeCell ref="D119:D128"/>
    <mergeCell ref="B1:E1"/>
    <mergeCell ref="B99:B108"/>
    <mergeCell ref="C99:C108"/>
    <mergeCell ref="D99:D108"/>
    <mergeCell ref="B109:B118"/>
    <mergeCell ref="C109:C118"/>
    <mergeCell ref="D109:D118"/>
    <mergeCell ref="B79:B88"/>
    <mergeCell ref="C79:C88"/>
    <mergeCell ref="D79:D88"/>
    <mergeCell ref="B89:B98"/>
    <mergeCell ref="C89:C98"/>
    <mergeCell ref="D89:D98"/>
    <mergeCell ref="B56:D56"/>
    <mergeCell ref="B58:B67"/>
    <mergeCell ref="C58:C67"/>
    <mergeCell ref="D58:D67"/>
    <mergeCell ref="B68:B77"/>
    <mergeCell ref="C68:C77"/>
    <mergeCell ref="D68:D77"/>
    <mergeCell ref="B36:B45"/>
    <mergeCell ref="C36:C45"/>
    <mergeCell ref="D36:D45"/>
    <mergeCell ref="B3:D3"/>
    <mergeCell ref="B46:B55"/>
    <mergeCell ref="C46:C55"/>
    <mergeCell ref="D46:D55"/>
    <mergeCell ref="B15:B24"/>
    <mergeCell ref="C15:C24"/>
    <mergeCell ref="D15:D24"/>
    <mergeCell ref="B26:B35"/>
    <mergeCell ref="C26:C35"/>
    <mergeCell ref="D26:D35"/>
    <mergeCell ref="D5:D14"/>
    <mergeCell ref="B5:B14"/>
    <mergeCell ref="C5:C14"/>
    <mergeCell ref="B150:D150"/>
    <mergeCell ref="B151:B160"/>
    <mergeCell ref="C151:C160"/>
    <mergeCell ref="D151:D160"/>
    <mergeCell ref="B161:B170"/>
    <mergeCell ref="C161:C170"/>
    <mergeCell ref="D161:D170"/>
  </mergeCells>
  <pageMargins left="0.7" right="0.7" top="0.75" bottom="0.75" header="0.3" footer="0.3"/>
  <pageSetup paperSize="9" scale="29" orientation="portrait" r:id="rId1"/>
  <ignoredErrors>
    <ignoredError sqref="F78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outlinePr summaryBelow="0" summaryRight="0"/>
  </sheetPr>
  <dimension ref="A1:I88"/>
  <sheetViews>
    <sheetView view="pageBreakPreview" zoomScale="80" zoomScaleNormal="85" zoomScaleSheetLayoutView="80" workbookViewId="0">
      <pane ySplit="1" topLeftCell="A62" activePane="bottomLeft" state="frozen"/>
      <selection pane="bottomLeft" activeCell="F88" sqref="F88"/>
    </sheetView>
  </sheetViews>
  <sheetFormatPr defaultColWidth="8.88671875" defaultRowHeight="14.4" outlineLevelRow="1" outlineLevelCol="1" x14ac:dyDescent="0.3"/>
  <cols>
    <col min="1" max="1" width="22.44140625" customWidth="1"/>
    <col min="2" max="2" width="23.33203125" customWidth="1"/>
    <col min="3" max="3" width="22.44140625" customWidth="1"/>
    <col min="5" max="5" width="17.88671875" customWidth="1"/>
    <col min="6" max="6" width="14.88671875" customWidth="1" outlineLevel="1"/>
    <col min="7" max="7" width="15.44140625" customWidth="1" outlineLevel="1"/>
    <col min="8" max="8" width="11.5546875" customWidth="1" outlineLevel="1"/>
    <col min="9" max="9" width="12.88671875" customWidth="1" outlineLevel="1"/>
  </cols>
  <sheetData>
    <row r="1" spans="1:9" ht="60" customHeight="1" thickBot="1" x14ac:dyDescent="0.45">
      <c r="A1" s="1152" t="s">
        <v>641</v>
      </c>
      <c r="B1" s="1152"/>
      <c r="C1" s="1152"/>
      <c r="D1" s="1153"/>
      <c r="E1" s="543" t="s">
        <v>35</v>
      </c>
      <c r="F1" s="544" t="str">
        <f>'Rozpočet - vývoj Aplikácií'!$C$4</f>
        <v>Modul Integrované povoľovanie</v>
      </c>
      <c r="G1" s="544" t="str">
        <f>'Rozpočet - vývoj Aplikácií'!$C$60</f>
        <v>2. Mobilný Agendový informačný systém KSED</v>
      </c>
      <c r="H1" s="544" t="str">
        <f>'Rozpočet - vývoj Aplikácií'!$C$66</f>
        <v>3. Verejný portál KSED</v>
      </c>
      <c r="I1" s="623" t="str">
        <f>'Rozpočet - vývoj Aplikácií'!$C$73</f>
        <v>4. Mobilná aplikácia Podnety</v>
      </c>
    </row>
    <row r="2" spans="1:9" ht="15" thickBot="1" x14ac:dyDescent="0.35">
      <c r="A2" s="40" t="s">
        <v>0</v>
      </c>
      <c r="B2" s="75" t="s">
        <v>75</v>
      </c>
      <c r="C2" s="75" t="s">
        <v>74</v>
      </c>
      <c r="D2" s="75" t="s">
        <v>23</v>
      </c>
      <c r="E2" s="17"/>
      <c r="F2" s="17"/>
      <c r="G2" s="17"/>
      <c r="H2" s="17"/>
      <c r="I2" s="624"/>
    </row>
    <row r="3" spans="1:9" ht="15" thickBot="1" x14ac:dyDescent="0.35">
      <c r="A3" s="1164" t="s">
        <v>88</v>
      </c>
      <c r="B3" s="1164"/>
      <c r="C3" s="1164"/>
      <c r="D3" s="74"/>
      <c r="E3" s="77">
        <f t="shared" ref="E3:I3" si="0">SUM(E4:E33)</f>
        <v>300144</v>
      </c>
      <c r="F3" s="575">
        <f t="shared" si="0"/>
        <v>115596</v>
      </c>
      <c r="G3" s="575">
        <f t="shared" si="0"/>
        <v>183612</v>
      </c>
      <c r="H3" s="576">
        <f t="shared" si="0"/>
        <v>312</v>
      </c>
      <c r="I3" s="577">
        <f t="shared" si="0"/>
        <v>624</v>
      </c>
    </row>
    <row r="4" spans="1:9" outlineLevel="1" x14ac:dyDescent="0.3">
      <c r="A4" s="1156" t="s">
        <v>90</v>
      </c>
      <c r="B4" s="1156" t="s">
        <v>93</v>
      </c>
      <c r="C4" s="1156" t="s">
        <v>363</v>
      </c>
      <c r="D4" s="67" t="s">
        <v>25</v>
      </c>
      <c r="E4" s="71">
        <f t="shared" ref="E4:E33" si="1">SUM(F4:I4)</f>
        <v>300144</v>
      </c>
      <c r="F4" s="597">
        <f>SUMIFS('Rozpočet - HW a licencie'!$E$3:$E$28,'Rozpočet - HW a licencie'!$G$3:$G$28,1)*(1+F$88)</f>
        <v>115596</v>
      </c>
      <c r="G4" s="597">
        <f>SUMIFS('Rozpočet - HW a licencie'!$E$3:$E$28,'Rozpočet - HW a licencie'!$G$3:$G$28,2)*(1+G$88)</f>
        <v>183612</v>
      </c>
      <c r="H4" s="597">
        <f>SUMIFS('Rozpočet - HW a licencie'!$E$3:$E$28,'Rozpočet - HW a licencie'!$G$3:$G$28,3)*(1+H$88)</f>
        <v>312</v>
      </c>
      <c r="I4" s="600">
        <f>SUMIFS('Rozpočet - HW a licencie'!$E$3:$E$28,'Rozpočet - HW a licencie'!$G$3:$G$28,4)*(1+I$88)</f>
        <v>624</v>
      </c>
    </row>
    <row r="5" spans="1:9" outlineLevel="1" x14ac:dyDescent="0.3">
      <c r="A5" s="1156"/>
      <c r="B5" s="1157"/>
      <c r="C5" s="1156"/>
      <c r="D5" s="68" t="s">
        <v>26</v>
      </c>
      <c r="E5" s="72">
        <f t="shared" si="1"/>
        <v>0</v>
      </c>
      <c r="F5" s="602">
        <v>0</v>
      </c>
      <c r="G5" s="603">
        <v>0</v>
      </c>
      <c r="H5" s="604">
        <v>0</v>
      </c>
      <c r="I5" s="605">
        <v>0</v>
      </c>
    </row>
    <row r="6" spans="1:9" outlineLevel="1" x14ac:dyDescent="0.3">
      <c r="A6" s="1156"/>
      <c r="B6" s="1157"/>
      <c r="C6" s="1156"/>
      <c r="D6" s="68" t="s">
        <v>27</v>
      </c>
      <c r="E6" s="72">
        <f t="shared" si="1"/>
        <v>0</v>
      </c>
      <c r="F6" s="602">
        <v>0</v>
      </c>
      <c r="G6" s="603">
        <v>0</v>
      </c>
      <c r="H6" s="604">
        <v>0</v>
      </c>
      <c r="I6" s="605">
        <v>0</v>
      </c>
    </row>
    <row r="7" spans="1:9" outlineLevel="1" x14ac:dyDescent="0.3">
      <c r="A7" s="1156"/>
      <c r="B7" s="1157"/>
      <c r="C7" s="1156"/>
      <c r="D7" s="68" t="s">
        <v>28</v>
      </c>
      <c r="E7" s="72">
        <f t="shared" si="1"/>
        <v>0</v>
      </c>
      <c r="F7" s="602">
        <v>0</v>
      </c>
      <c r="G7" s="603">
        <v>0</v>
      </c>
      <c r="H7" s="604">
        <v>0</v>
      </c>
      <c r="I7" s="605">
        <v>0</v>
      </c>
    </row>
    <row r="8" spans="1:9" outlineLevel="1" x14ac:dyDescent="0.3">
      <c r="A8" s="1156"/>
      <c r="B8" s="1157"/>
      <c r="C8" s="1156"/>
      <c r="D8" s="68" t="s">
        <v>29</v>
      </c>
      <c r="E8" s="72">
        <f t="shared" si="1"/>
        <v>0</v>
      </c>
      <c r="F8" s="602">
        <v>0</v>
      </c>
      <c r="G8" s="603">
        <v>0</v>
      </c>
      <c r="H8" s="604">
        <v>0</v>
      </c>
      <c r="I8" s="605">
        <v>0</v>
      </c>
    </row>
    <row r="9" spans="1:9" outlineLevel="1" x14ac:dyDescent="0.3">
      <c r="A9" s="1156"/>
      <c r="B9" s="1157"/>
      <c r="C9" s="1156"/>
      <c r="D9" s="68" t="s">
        <v>30</v>
      </c>
      <c r="E9" s="72">
        <f t="shared" si="1"/>
        <v>0</v>
      </c>
      <c r="F9" s="602">
        <v>0</v>
      </c>
      <c r="G9" s="603">
        <v>0</v>
      </c>
      <c r="H9" s="604">
        <v>0</v>
      </c>
      <c r="I9" s="605">
        <v>0</v>
      </c>
    </row>
    <row r="10" spans="1:9" outlineLevel="1" x14ac:dyDescent="0.3">
      <c r="A10" s="1156"/>
      <c r="B10" s="1157"/>
      <c r="C10" s="1156"/>
      <c r="D10" s="68" t="s">
        <v>31</v>
      </c>
      <c r="E10" s="72">
        <f t="shared" si="1"/>
        <v>0</v>
      </c>
      <c r="F10" s="602">
        <v>0</v>
      </c>
      <c r="G10" s="603">
        <v>0</v>
      </c>
      <c r="H10" s="604">
        <v>0</v>
      </c>
      <c r="I10" s="605">
        <v>0</v>
      </c>
    </row>
    <row r="11" spans="1:9" outlineLevel="1" x14ac:dyDescent="0.3">
      <c r="A11" s="1156"/>
      <c r="B11" s="1157"/>
      <c r="C11" s="1156"/>
      <c r="D11" s="68" t="s">
        <v>32</v>
      </c>
      <c r="E11" s="72">
        <f t="shared" si="1"/>
        <v>0</v>
      </c>
      <c r="F11" s="602">
        <v>0</v>
      </c>
      <c r="G11" s="603">
        <v>0</v>
      </c>
      <c r="H11" s="604">
        <v>0</v>
      </c>
      <c r="I11" s="605">
        <v>0</v>
      </c>
    </row>
    <row r="12" spans="1:9" outlineLevel="1" x14ac:dyDescent="0.3">
      <c r="A12" s="1156"/>
      <c r="B12" s="1157"/>
      <c r="C12" s="1156"/>
      <c r="D12" s="68" t="s">
        <v>33</v>
      </c>
      <c r="E12" s="72">
        <f t="shared" si="1"/>
        <v>0</v>
      </c>
      <c r="F12" s="602">
        <v>0</v>
      </c>
      <c r="G12" s="603">
        <v>0</v>
      </c>
      <c r="H12" s="604">
        <v>0</v>
      </c>
      <c r="I12" s="605">
        <v>0</v>
      </c>
    </row>
    <row r="13" spans="1:9" ht="15" outlineLevel="1" thickBot="1" x14ac:dyDescent="0.35">
      <c r="A13" s="1156"/>
      <c r="B13" s="1157"/>
      <c r="C13" s="1156"/>
      <c r="D13" s="69" t="s">
        <v>34</v>
      </c>
      <c r="E13" s="73">
        <f t="shared" si="1"/>
        <v>0</v>
      </c>
      <c r="F13" s="607">
        <v>0</v>
      </c>
      <c r="G13" s="608">
        <v>0</v>
      </c>
      <c r="H13" s="609">
        <v>0</v>
      </c>
      <c r="I13" s="610">
        <v>0</v>
      </c>
    </row>
    <row r="14" spans="1:9" ht="15" customHeight="1" outlineLevel="1" x14ac:dyDescent="0.3">
      <c r="A14" s="1156" t="s">
        <v>91</v>
      </c>
      <c r="B14" s="1156" t="s">
        <v>113</v>
      </c>
      <c r="C14" s="1156" t="s">
        <v>364</v>
      </c>
      <c r="D14" s="67" t="s">
        <v>25</v>
      </c>
      <c r="E14" s="72">
        <f t="shared" si="1"/>
        <v>0</v>
      </c>
      <c r="F14" s="597">
        <v>0</v>
      </c>
      <c r="G14" s="598">
        <v>0</v>
      </c>
      <c r="H14" s="599">
        <v>0</v>
      </c>
      <c r="I14" s="600">
        <v>0</v>
      </c>
    </row>
    <row r="15" spans="1:9" outlineLevel="1" x14ac:dyDescent="0.3">
      <c r="A15" s="1156"/>
      <c r="B15" s="1157"/>
      <c r="C15" s="1156"/>
      <c r="D15" s="68" t="s">
        <v>26</v>
      </c>
      <c r="E15" s="72">
        <f t="shared" si="1"/>
        <v>0</v>
      </c>
      <c r="F15" s="602">
        <v>0</v>
      </c>
      <c r="G15" s="603">
        <v>0</v>
      </c>
      <c r="H15" s="604">
        <v>0</v>
      </c>
      <c r="I15" s="605">
        <v>0</v>
      </c>
    </row>
    <row r="16" spans="1:9" outlineLevel="1" x14ac:dyDescent="0.3">
      <c r="A16" s="1156"/>
      <c r="B16" s="1157"/>
      <c r="C16" s="1156"/>
      <c r="D16" s="68" t="s">
        <v>27</v>
      </c>
      <c r="E16" s="72">
        <f t="shared" si="1"/>
        <v>0</v>
      </c>
      <c r="F16" s="602">
        <v>0</v>
      </c>
      <c r="G16" s="603">
        <v>0</v>
      </c>
      <c r="H16" s="604">
        <v>0</v>
      </c>
      <c r="I16" s="605">
        <v>0</v>
      </c>
    </row>
    <row r="17" spans="1:9" outlineLevel="1" x14ac:dyDescent="0.3">
      <c r="A17" s="1156"/>
      <c r="B17" s="1157"/>
      <c r="C17" s="1156"/>
      <c r="D17" s="68" t="s">
        <v>28</v>
      </c>
      <c r="E17" s="72">
        <f t="shared" si="1"/>
        <v>0</v>
      </c>
      <c r="F17" s="602">
        <v>0</v>
      </c>
      <c r="G17" s="603">
        <v>0</v>
      </c>
      <c r="H17" s="604">
        <v>0</v>
      </c>
      <c r="I17" s="605">
        <v>0</v>
      </c>
    </row>
    <row r="18" spans="1:9" outlineLevel="1" x14ac:dyDescent="0.3">
      <c r="A18" s="1156"/>
      <c r="B18" s="1157"/>
      <c r="C18" s="1156"/>
      <c r="D18" s="68" t="s">
        <v>29</v>
      </c>
      <c r="E18" s="72">
        <f t="shared" si="1"/>
        <v>0</v>
      </c>
      <c r="F18" s="602">
        <v>0</v>
      </c>
      <c r="G18" s="603">
        <v>0</v>
      </c>
      <c r="H18" s="604">
        <v>0</v>
      </c>
      <c r="I18" s="605">
        <v>0</v>
      </c>
    </row>
    <row r="19" spans="1:9" outlineLevel="1" x14ac:dyDescent="0.3">
      <c r="A19" s="1156"/>
      <c r="B19" s="1157"/>
      <c r="C19" s="1156"/>
      <c r="D19" s="68" t="s">
        <v>30</v>
      </c>
      <c r="E19" s="72">
        <f t="shared" si="1"/>
        <v>0</v>
      </c>
      <c r="F19" s="602">
        <v>0</v>
      </c>
      <c r="G19" s="603">
        <v>0</v>
      </c>
      <c r="H19" s="604">
        <v>0</v>
      </c>
      <c r="I19" s="605">
        <v>0</v>
      </c>
    </row>
    <row r="20" spans="1:9" outlineLevel="1" x14ac:dyDescent="0.3">
      <c r="A20" s="1156"/>
      <c r="B20" s="1157"/>
      <c r="C20" s="1156"/>
      <c r="D20" s="68" t="s">
        <v>31</v>
      </c>
      <c r="E20" s="72">
        <f t="shared" si="1"/>
        <v>0</v>
      </c>
      <c r="F20" s="602">
        <v>0</v>
      </c>
      <c r="G20" s="603">
        <v>0</v>
      </c>
      <c r="H20" s="604">
        <v>0</v>
      </c>
      <c r="I20" s="605">
        <v>0</v>
      </c>
    </row>
    <row r="21" spans="1:9" outlineLevel="1" x14ac:dyDescent="0.3">
      <c r="A21" s="1156"/>
      <c r="B21" s="1157"/>
      <c r="C21" s="1156"/>
      <c r="D21" s="68" t="s">
        <v>32</v>
      </c>
      <c r="E21" s="72">
        <f t="shared" si="1"/>
        <v>0</v>
      </c>
      <c r="F21" s="602">
        <v>0</v>
      </c>
      <c r="G21" s="603">
        <v>0</v>
      </c>
      <c r="H21" s="604">
        <v>0</v>
      </c>
      <c r="I21" s="605">
        <v>0</v>
      </c>
    </row>
    <row r="22" spans="1:9" outlineLevel="1" x14ac:dyDescent="0.3">
      <c r="A22" s="1156"/>
      <c r="B22" s="1157"/>
      <c r="C22" s="1156"/>
      <c r="D22" s="68" t="s">
        <v>33</v>
      </c>
      <c r="E22" s="72">
        <f t="shared" si="1"/>
        <v>0</v>
      </c>
      <c r="F22" s="602">
        <v>0</v>
      </c>
      <c r="G22" s="603">
        <v>0</v>
      </c>
      <c r="H22" s="604">
        <v>0</v>
      </c>
      <c r="I22" s="605">
        <v>0</v>
      </c>
    </row>
    <row r="23" spans="1:9" ht="15" outlineLevel="1" thickBot="1" x14ac:dyDescent="0.35">
      <c r="A23" s="1156"/>
      <c r="B23" s="1157"/>
      <c r="C23" s="1156"/>
      <c r="D23" s="69" t="s">
        <v>34</v>
      </c>
      <c r="E23" s="73">
        <f t="shared" si="1"/>
        <v>0</v>
      </c>
      <c r="F23" s="607">
        <v>0</v>
      </c>
      <c r="G23" s="608">
        <v>0</v>
      </c>
      <c r="H23" s="609">
        <v>0</v>
      </c>
      <c r="I23" s="610">
        <v>0</v>
      </c>
    </row>
    <row r="24" spans="1:9" outlineLevel="1" x14ac:dyDescent="0.3">
      <c r="A24" s="1156" t="s">
        <v>92</v>
      </c>
      <c r="B24" s="1157" t="s">
        <v>78</v>
      </c>
      <c r="C24" s="1156" t="s">
        <v>344</v>
      </c>
      <c r="D24" s="67" t="s">
        <v>25</v>
      </c>
      <c r="E24" s="72">
        <f t="shared" si="1"/>
        <v>0</v>
      </c>
      <c r="F24" s="597">
        <v>0</v>
      </c>
      <c r="G24" s="598">
        <v>0</v>
      </c>
      <c r="H24" s="599">
        <v>0</v>
      </c>
      <c r="I24" s="600">
        <v>0</v>
      </c>
    </row>
    <row r="25" spans="1:9" outlineLevel="1" x14ac:dyDescent="0.3">
      <c r="A25" s="1156"/>
      <c r="B25" s="1157"/>
      <c r="C25" s="1156"/>
      <c r="D25" s="68" t="s">
        <v>26</v>
      </c>
      <c r="E25" s="72">
        <f t="shared" si="1"/>
        <v>0</v>
      </c>
      <c r="F25" s="602">
        <v>0</v>
      </c>
      <c r="G25" s="603">
        <v>0</v>
      </c>
      <c r="H25" s="604">
        <v>0</v>
      </c>
      <c r="I25" s="605">
        <v>0</v>
      </c>
    </row>
    <row r="26" spans="1:9" outlineLevel="1" x14ac:dyDescent="0.3">
      <c r="A26" s="1156"/>
      <c r="B26" s="1157"/>
      <c r="C26" s="1156"/>
      <c r="D26" s="68" t="s">
        <v>27</v>
      </c>
      <c r="E26" s="72">
        <f t="shared" si="1"/>
        <v>0</v>
      </c>
      <c r="F26" s="602">
        <v>0</v>
      </c>
      <c r="G26" s="603">
        <v>0</v>
      </c>
      <c r="H26" s="604">
        <v>0</v>
      </c>
      <c r="I26" s="605">
        <v>0</v>
      </c>
    </row>
    <row r="27" spans="1:9" outlineLevel="1" x14ac:dyDescent="0.3">
      <c r="A27" s="1156"/>
      <c r="B27" s="1157"/>
      <c r="C27" s="1156"/>
      <c r="D27" s="68" t="s">
        <v>28</v>
      </c>
      <c r="E27" s="72">
        <f t="shared" si="1"/>
        <v>0</v>
      </c>
      <c r="F27" s="602">
        <v>0</v>
      </c>
      <c r="G27" s="603">
        <v>0</v>
      </c>
      <c r="H27" s="604">
        <v>0</v>
      </c>
      <c r="I27" s="605">
        <v>0</v>
      </c>
    </row>
    <row r="28" spans="1:9" outlineLevel="1" x14ac:dyDescent="0.3">
      <c r="A28" s="1156"/>
      <c r="B28" s="1157"/>
      <c r="C28" s="1156"/>
      <c r="D28" s="68" t="s">
        <v>29</v>
      </c>
      <c r="E28" s="72">
        <f t="shared" si="1"/>
        <v>0</v>
      </c>
      <c r="F28" s="602">
        <v>0</v>
      </c>
      <c r="G28" s="603">
        <v>0</v>
      </c>
      <c r="H28" s="604">
        <v>0</v>
      </c>
      <c r="I28" s="605">
        <v>0</v>
      </c>
    </row>
    <row r="29" spans="1:9" outlineLevel="1" x14ac:dyDescent="0.3">
      <c r="A29" s="1156"/>
      <c r="B29" s="1157"/>
      <c r="C29" s="1156"/>
      <c r="D29" s="68" t="s">
        <v>30</v>
      </c>
      <c r="E29" s="72">
        <f t="shared" si="1"/>
        <v>0</v>
      </c>
      <c r="F29" s="602">
        <v>0</v>
      </c>
      <c r="G29" s="603">
        <v>0</v>
      </c>
      <c r="H29" s="604">
        <v>0</v>
      </c>
      <c r="I29" s="605">
        <v>0</v>
      </c>
    </row>
    <row r="30" spans="1:9" outlineLevel="1" x14ac:dyDescent="0.3">
      <c r="A30" s="1156"/>
      <c r="B30" s="1157"/>
      <c r="C30" s="1156"/>
      <c r="D30" s="68" t="s">
        <v>31</v>
      </c>
      <c r="E30" s="72">
        <f t="shared" si="1"/>
        <v>0</v>
      </c>
      <c r="F30" s="602">
        <v>0</v>
      </c>
      <c r="G30" s="603">
        <v>0</v>
      </c>
      <c r="H30" s="604">
        <v>0</v>
      </c>
      <c r="I30" s="605">
        <v>0</v>
      </c>
    </row>
    <row r="31" spans="1:9" outlineLevel="1" x14ac:dyDescent="0.3">
      <c r="A31" s="1156"/>
      <c r="B31" s="1157"/>
      <c r="C31" s="1156"/>
      <c r="D31" s="68" t="s">
        <v>32</v>
      </c>
      <c r="E31" s="72">
        <f t="shared" si="1"/>
        <v>0</v>
      </c>
      <c r="F31" s="602">
        <v>0</v>
      </c>
      <c r="G31" s="603">
        <v>0</v>
      </c>
      <c r="H31" s="604">
        <v>0</v>
      </c>
      <c r="I31" s="605">
        <v>0</v>
      </c>
    </row>
    <row r="32" spans="1:9" outlineLevel="1" x14ac:dyDescent="0.3">
      <c r="A32" s="1156"/>
      <c r="B32" s="1157"/>
      <c r="C32" s="1156"/>
      <c r="D32" s="68" t="s">
        <v>33</v>
      </c>
      <c r="E32" s="72">
        <f t="shared" si="1"/>
        <v>0</v>
      </c>
      <c r="F32" s="602">
        <v>0</v>
      </c>
      <c r="G32" s="603">
        <v>0</v>
      </c>
      <c r="H32" s="604">
        <v>0</v>
      </c>
      <c r="I32" s="605">
        <v>0</v>
      </c>
    </row>
    <row r="33" spans="1:9" ht="15" outlineLevel="1" thickBot="1" x14ac:dyDescent="0.35">
      <c r="A33" s="1156"/>
      <c r="B33" s="1157"/>
      <c r="C33" s="1156"/>
      <c r="D33" s="69" t="s">
        <v>34</v>
      </c>
      <c r="E33" s="72">
        <f t="shared" si="1"/>
        <v>0</v>
      </c>
      <c r="F33" s="607">
        <v>0</v>
      </c>
      <c r="G33" s="608">
        <v>0</v>
      </c>
      <c r="H33" s="609">
        <v>0</v>
      </c>
      <c r="I33" s="610">
        <v>0</v>
      </c>
    </row>
    <row r="34" spans="1:9" ht="15" thickBot="1" x14ac:dyDescent="0.35">
      <c r="A34" s="1159" t="s">
        <v>89</v>
      </c>
      <c r="B34" s="1159"/>
      <c r="C34" s="1159"/>
      <c r="D34" s="76"/>
      <c r="E34" s="77">
        <f t="shared" ref="E34:I34" si="2">SUM(E35:E84)</f>
        <v>171600</v>
      </c>
      <c r="F34" s="575">
        <f t="shared" si="2"/>
        <v>0</v>
      </c>
      <c r="G34" s="575">
        <f t="shared" si="2"/>
        <v>171600</v>
      </c>
      <c r="H34" s="576">
        <f t="shared" si="2"/>
        <v>0</v>
      </c>
      <c r="I34" s="577">
        <f t="shared" si="2"/>
        <v>0</v>
      </c>
    </row>
    <row r="35" spans="1:9" outlineLevel="1" x14ac:dyDescent="0.3">
      <c r="A35" s="1156" t="s">
        <v>94</v>
      </c>
      <c r="B35" s="1157" t="s">
        <v>81</v>
      </c>
      <c r="C35" s="1156" t="s">
        <v>365</v>
      </c>
      <c r="D35" s="67" t="s">
        <v>25</v>
      </c>
      <c r="E35" s="71">
        <f t="shared" ref="E35:E66" si="3">SUM(F35:I35)</f>
        <v>0</v>
      </c>
      <c r="F35" s="599">
        <v>0</v>
      </c>
      <c r="G35" s="599">
        <v>0</v>
      </c>
      <c r="H35" s="599">
        <v>0</v>
      </c>
      <c r="I35" s="600">
        <v>0</v>
      </c>
    </row>
    <row r="36" spans="1:9" outlineLevel="1" x14ac:dyDescent="0.3">
      <c r="A36" s="1156"/>
      <c r="B36" s="1157"/>
      <c r="C36" s="1156"/>
      <c r="D36" s="68" t="s">
        <v>26</v>
      </c>
      <c r="E36" s="72">
        <f t="shared" si="3"/>
        <v>0</v>
      </c>
      <c r="F36" s="604">
        <v>0</v>
      </c>
      <c r="G36" s="604">
        <v>0</v>
      </c>
      <c r="H36" s="604">
        <v>0</v>
      </c>
      <c r="I36" s="605">
        <v>0</v>
      </c>
    </row>
    <row r="37" spans="1:9" outlineLevel="1" x14ac:dyDescent="0.3">
      <c r="A37" s="1156"/>
      <c r="B37" s="1157"/>
      <c r="C37" s="1156"/>
      <c r="D37" s="68" t="s">
        <v>27</v>
      </c>
      <c r="E37" s="72">
        <f t="shared" si="3"/>
        <v>0</v>
      </c>
      <c r="F37" s="604">
        <v>0</v>
      </c>
      <c r="G37" s="604">
        <v>0</v>
      </c>
      <c r="H37" s="604">
        <v>0</v>
      </c>
      <c r="I37" s="605">
        <v>0</v>
      </c>
    </row>
    <row r="38" spans="1:9" outlineLevel="1" x14ac:dyDescent="0.3">
      <c r="A38" s="1156"/>
      <c r="B38" s="1157"/>
      <c r="C38" s="1156"/>
      <c r="D38" s="68" t="s">
        <v>28</v>
      </c>
      <c r="E38" s="72">
        <f t="shared" si="3"/>
        <v>0</v>
      </c>
      <c r="F38" s="604">
        <v>0</v>
      </c>
      <c r="G38" s="604">
        <v>0</v>
      </c>
      <c r="H38" s="604">
        <v>0</v>
      </c>
      <c r="I38" s="605">
        <v>0</v>
      </c>
    </row>
    <row r="39" spans="1:9" outlineLevel="1" x14ac:dyDescent="0.3">
      <c r="A39" s="1156"/>
      <c r="B39" s="1157"/>
      <c r="C39" s="1156"/>
      <c r="D39" s="68" t="s">
        <v>29</v>
      </c>
      <c r="E39" s="72">
        <f t="shared" si="3"/>
        <v>0</v>
      </c>
      <c r="F39" s="604">
        <v>0</v>
      </c>
      <c r="G39" s="604">
        <v>0</v>
      </c>
      <c r="H39" s="604">
        <v>0</v>
      </c>
      <c r="I39" s="605">
        <v>0</v>
      </c>
    </row>
    <row r="40" spans="1:9" outlineLevel="1" x14ac:dyDescent="0.3">
      <c r="A40" s="1156"/>
      <c r="B40" s="1157"/>
      <c r="C40" s="1156"/>
      <c r="D40" s="68" t="s">
        <v>30</v>
      </c>
      <c r="E40" s="72">
        <f t="shared" si="3"/>
        <v>0</v>
      </c>
      <c r="F40" s="604">
        <v>0</v>
      </c>
      <c r="G40" s="604">
        <v>0</v>
      </c>
      <c r="H40" s="604">
        <v>0</v>
      </c>
      <c r="I40" s="605">
        <v>0</v>
      </c>
    </row>
    <row r="41" spans="1:9" outlineLevel="1" x14ac:dyDescent="0.3">
      <c r="A41" s="1156"/>
      <c r="B41" s="1157"/>
      <c r="C41" s="1156"/>
      <c r="D41" s="68" t="s">
        <v>31</v>
      </c>
      <c r="E41" s="72">
        <f t="shared" si="3"/>
        <v>171600</v>
      </c>
      <c r="F41" s="604">
        <v>0</v>
      </c>
      <c r="G41" s="604">
        <f>'Rozpočet - HW a licencie'!E3*(1+G$88)</f>
        <v>171600</v>
      </c>
      <c r="H41" s="604">
        <v>0</v>
      </c>
      <c r="I41" s="605">
        <v>0</v>
      </c>
    </row>
    <row r="42" spans="1:9" outlineLevel="1" x14ac:dyDescent="0.3">
      <c r="A42" s="1156"/>
      <c r="B42" s="1157"/>
      <c r="C42" s="1156"/>
      <c r="D42" s="68" t="s">
        <v>32</v>
      </c>
      <c r="E42" s="72">
        <f t="shared" si="3"/>
        <v>0</v>
      </c>
      <c r="F42" s="604">
        <v>0</v>
      </c>
      <c r="G42" s="604">
        <v>0</v>
      </c>
      <c r="H42" s="604">
        <v>0</v>
      </c>
      <c r="I42" s="605">
        <v>0</v>
      </c>
    </row>
    <row r="43" spans="1:9" outlineLevel="1" x14ac:dyDescent="0.3">
      <c r="A43" s="1156"/>
      <c r="B43" s="1157"/>
      <c r="C43" s="1156"/>
      <c r="D43" s="68" t="s">
        <v>33</v>
      </c>
      <c r="E43" s="72">
        <f t="shared" si="3"/>
        <v>0</v>
      </c>
      <c r="F43" s="604">
        <v>0</v>
      </c>
      <c r="G43" s="604">
        <v>0</v>
      </c>
      <c r="H43" s="604">
        <v>0</v>
      </c>
      <c r="I43" s="605">
        <v>0</v>
      </c>
    </row>
    <row r="44" spans="1:9" ht="15" outlineLevel="1" thickBot="1" x14ac:dyDescent="0.35">
      <c r="A44" s="1156"/>
      <c r="B44" s="1157"/>
      <c r="C44" s="1156"/>
      <c r="D44" s="69" t="s">
        <v>34</v>
      </c>
      <c r="E44" s="73">
        <f t="shared" si="3"/>
        <v>0</v>
      </c>
      <c r="F44" s="609">
        <v>0</v>
      </c>
      <c r="G44" s="609">
        <v>0</v>
      </c>
      <c r="H44" s="609">
        <v>0</v>
      </c>
      <c r="I44" s="610">
        <v>0</v>
      </c>
    </row>
    <row r="45" spans="1:9" outlineLevel="1" x14ac:dyDescent="0.3">
      <c r="A45" s="1156" t="s">
        <v>95</v>
      </c>
      <c r="B45" s="1156" t="s">
        <v>93</v>
      </c>
      <c r="C45" s="1156" t="s">
        <v>366</v>
      </c>
      <c r="D45" s="67" t="s">
        <v>25</v>
      </c>
      <c r="E45" s="72">
        <f t="shared" si="3"/>
        <v>0</v>
      </c>
      <c r="F45" s="597">
        <v>0</v>
      </c>
      <c r="G45" s="598">
        <v>0</v>
      </c>
      <c r="H45" s="599">
        <v>0</v>
      </c>
      <c r="I45" s="600">
        <v>0</v>
      </c>
    </row>
    <row r="46" spans="1:9" outlineLevel="1" x14ac:dyDescent="0.3">
      <c r="A46" s="1156"/>
      <c r="B46" s="1157"/>
      <c r="C46" s="1156"/>
      <c r="D46" s="68" t="s">
        <v>26</v>
      </c>
      <c r="E46" s="72">
        <f t="shared" si="3"/>
        <v>0</v>
      </c>
      <c r="F46" s="602">
        <v>0</v>
      </c>
      <c r="G46" s="603">
        <v>0</v>
      </c>
      <c r="H46" s="604">
        <v>0</v>
      </c>
      <c r="I46" s="605">
        <v>0</v>
      </c>
    </row>
    <row r="47" spans="1:9" outlineLevel="1" x14ac:dyDescent="0.3">
      <c r="A47" s="1156"/>
      <c r="B47" s="1157"/>
      <c r="C47" s="1156"/>
      <c r="D47" s="68" t="s">
        <v>27</v>
      </c>
      <c r="E47" s="72">
        <f t="shared" si="3"/>
        <v>0</v>
      </c>
      <c r="F47" s="602">
        <v>0</v>
      </c>
      <c r="G47" s="603">
        <v>0</v>
      </c>
      <c r="H47" s="604">
        <v>0</v>
      </c>
      <c r="I47" s="605">
        <v>0</v>
      </c>
    </row>
    <row r="48" spans="1:9" outlineLevel="1" x14ac:dyDescent="0.3">
      <c r="A48" s="1156"/>
      <c r="B48" s="1157"/>
      <c r="C48" s="1156"/>
      <c r="D48" s="68" t="s">
        <v>28</v>
      </c>
      <c r="E48" s="72">
        <f t="shared" si="3"/>
        <v>0</v>
      </c>
      <c r="F48" s="602">
        <v>0</v>
      </c>
      <c r="G48" s="603">
        <v>0</v>
      </c>
      <c r="H48" s="604">
        <v>0</v>
      </c>
      <c r="I48" s="605">
        <v>0</v>
      </c>
    </row>
    <row r="49" spans="1:9" outlineLevel="1" x14ac:dyDescent="0.3">
      <c r="A49" s="1156"/>
      <c r="B49" s="1157"/>
      <c r="C49" s="1156"/>
      <c r="D49" s="68" t="s">
        <v>29</v>
      </c>
      <c r="E49" s="72">
        <f t="shared" si="3"/>
        <v>0</v>
      </c>
      <c r="F49" s="602">
        <v>0</v>
      </c>
      <c r="G49" s="603">
        <v>0</v>
      </c>
      <c r="H49" s="604">
        <v>0</v>
      </c>
      <c r="I49" s="605">
        <v>0</v>
      </c>
    </row>
    <row r="50" spans="1:9" outlineLevel="1" x14ac:dyDescent="0.3">
      <c r="A50" s="1156"/>
      <c r="B50" s="1157"/>
      <c r="C50" s="1156"/>
      <c r="D50" s="68" t="s">
        <v>30</v>
      </c>
      <c r="E50" s="72">
        <f t="shared" si="3"/>
        <v>0</v>
      </c>
      <c r="F50" s="602">
        <v>0</v>
      </c>
      <c r="G50" s="603">
        <v>0</v>
      </c>
      <c r="H50" s="604">
        <v>0</v>
      </c>
      <c r="I50" s="605">
        <v>0</v>
      </c>
    </row>
    <row r="51" spans="1:9" outlineLevel="1" x14ac:dyDescent="0.3">
      <c r="A51" s="1156"/>
      <c r="B51" s="1157"/>
      <c r="C51" s="1156"/>
      <c r="D51" s="68" t="s">
        <v>31</v>
      </c>
      <c r="E51" s="72">
        <f t="shared" si="3"/>
        <v>0</v>
      </c>
      <c r="F51" s="602">
        <v>0</v>
      </c>
      <c r="G51" s="603">
        <v>0</v>
      </c>
      <c r="H51" s="604">
        <v>0</v>
      </c>
      <c r="I51" s="605">
        <v>0</v>
      </c>
    </row>
    <row r="52" spans="1:9" outlineLevel="1" x14ac:dyDescent="0.3">
      <c r="A52" s="1156"/>
      <c r="B52" s="1157"/>
      <c r="C52" s="1156"/>
      <c r="D52" s="68" t="s">
        <v>32</v>
      </c>
      <c r="E52" s="72">
        <f t="shared" si="3"/>
        <v>0</v>
      </c>
      <c r="F52" s="602">
        <v>0</v>
      </c>
      <c r="G52" s="603">
        <v>0</v>
      </c>
      <c r="H52" s="604">
        <v>0</v>
      </c>
      <c r="I52" s="605">
        <v>0</v>
      </c>
    </row>
    <row r="53" spans="1:9" outlineLevel="1" x14ac:dyDescent="0.3">
      <c r="A53" s="1156"/>
      <c r="B53" s="1157"/>
      <c r="C53" s="1156"/>
      <c r="D53" s="68" t="s">
        <v>33</v>
      </c>
      <c r="E53" s="72">
        <f t="shared" si="3"/>
        <v>0</v>
      </c>
      <c r="F53" s="602">
        <v>0</v>
      </c>
      <c r="G53" s="603">
        <v>0</v>
      </c>
      <c r="H53" s="604">
        <v>0</v>
      </c>
      <c r="I53" s="605">
        <v>0</v>
      </c>
    </row>
    <row r="54" spans="1:9" ht="15" outlineLevel="1" thickBot="1" x14ac:dyDescent="0.35">
      <c r="A54" s="1156"/>
      <c r="B54" s="1157"/>
      <c r="C54" s="1156"/>
      <c r="D54" s="69" t="s">
        <v>34</v>
      </c>
      <c r="E54" s="73">
        <f t="shared" si="3"/>
        <v>0</v>
      </c>
      <c r="F54" s="607">
        <v>0</v>
      </c>
      <c r="G54" s="608">
        <v>0</v>
      </c>
      <c r="H54" s="609">
        <v>0</v>
      </c>
      <c r="I54" s="610">
        <v>0</v>
      </c>
    </row>
    <row r="55" spans="1:9" outlineLevel="1" x14ac:dyDescent="0.3">
      <c r="A55" s="1156" t="s">
        <v>96</v>
      </c>
      <c r="B55" s="1157"/>
      <c r="C55" s="1157"/>
      <c r="D55" s="67" t="s">
        <v>25</v>
      </c>
      <c r="E55" s="72">
        <f t="shared" si="3"/>
        <v>0</v>
      </c>
      <c r="F55" s="597">
        <v>0</v>
      </c>
      <c r="G55" s="598">
        <v>0</v>
      </c>
      <c r="H55" s="599">
        <v>0</v>
      </c>
      <c r="I55" s="600">
        <v>0</v>
      </c>
    </row>
    <row r="56" spans="1:9" outlineLevel="1" x14ac:dyDescent="0.3">
      <c r="A56" s="1156"/>
      <c r="B56" s="1157"/>
      <c r="C56" s="1157"/>
      <c r="D56" s="68" t="s">
        <v>26</v>
      </c>
      <c r="E56" s="72">
        <f t="shared" si="3"/>
        <v>0</v>
      </c>
      <c r="F56" s="602">
        <v>0</v>
      </c>
      <c r="G56" s="603">
        <v>0</v>
      </c>
      <c r="H56" s="604">
        <v>0</v>
      </c>
      <c r="I56" s="605">
        <v>0</v>
      </c>
    </row>
    <row r="57" spans="1:9" outlineLevel="1" x14ac:dyDescent="0.3">
      <c r="A57" s="1156"/>
      <c r="B57" s="1157"/>
      <c r="C57" s="1157"/>
      <c r="D57" s="68" t="s">
        <v>27</v>
      </c>
      <c r="E57" s="72">
        <f t="shared" si="3"/>
        <v>0</v>
      </c>
      <c r="F57" s="602">
        <v>0</v>
      </c>
      <c r="G57" s="603">
        <v>0</v>
      </c>
      <c r="H57" s="604">
        <v>0</v>
      </c>
      <c r="I57" s="605">
        <v>0</v>
      </c>
    </row>
    <row r="58" spans="1:9" outlineLevel="1" x14ac:dyDescent="0.3">
      <c r="A58" s="1156"/>
      <c r="B58" s="1157"/>
      <c r="C58" s="1157"/>
      <c r="D58" s="68" t="s">
        <v>28</v>
      </c>
      <c r="E58" s="72">
        <f t="shared" si="3"/>
        <v>0</v>
      </c>
      <c r="F58" s="602">
        <v>0</v>
      </c>
      <c r="G58" s="603">
        <v>0</v>
      </c>
      <c r="H58" s="604">
        <v>0</v>
      </c>
      <c r="I58" s="605">
        <v>0</v>
      </c>
    </row>
    <row r="59" spans="1:9" outlineLevel="1" x14ac:dyDescent="0.3">
      <c r="A59" s="1156"/>
      <c r="B59" s="1157"/>
      <c r="C59" s="1157"/>
      <c r="D59" s="68" t="s">
        <v>29</v>
      </c>
      <c r="E59" s="72">
        <f t="shared" si="3"/>
        <v>0</v>
      </c>
      <c r="F59" s="602">
        <v>0</v>
      </c>
      <c r="G59" s="603">
        <v>0</v>
      </c>
      <c r="H59" s="604">
        <v>0</v>
      </c>
      <c r="I59" s="605">
        <v>0</v>
      </c>
    </row>
    <row r="60" spans="1:9" outlineLevel="1" x14ac:dyDescent="0.3">
      <c r="A60" s="1156"/>
      <c r="B60" s="1157"/>
      <c r="C60" s="1157"/>
      <c r="D60" s="68" t="s">
        <v>30</v>
      </c>
      <c r="E60" s="72">
        <f t="shared" si="3"/>
        <v>0</v>
      </c>
      <c r="F60" s="602">
        <v>0</v>
      </c>
      <c r="G60" s="603">
        <v>0</v>
      </c>
      <c r="H60" s="604">
        <v>0</v>
      </c>
      <c r="I60" s="605">
        <v>0</v>
      </c>
    </row>
    <row r="61" spans="1:9" outlineLevel="1" x14ac:dyDescent="0.3">
      <c r="A61" s="1156"/>
      <c r="B61" s="1157"/>
      <c r="C61" s="1157"/>
      <c r="D61" s="68" t="s">
        <v>31</v>
      </c>
      <c r="E61" s="72">
        <f t="shared" si="3"/>
        <v>0</v>
      </c>
      <c r="F61" s="602">
        <v>0</v>
      </c>
      <c r="G61" s="603">
        <v>0</v>
      </c>
      <c r="H61" s="604">
        <v>0</v>
      </c>
      <c r="I61" s="605">
        <v>0</v>
      </c>
    </row>
    <row r="62" spans="1:9" outlineLevel="1" x14ac:dyDescent="0.3">
      <c r="A62" s="1156"/>
      <c r="B62" s="1157"/>
      <c r="C62" s="1157"/>
      <c r="D62" s="68" t="s">
        <v>32</v>
      </c>
      <c r="E62" s="72">
        <f t="shared" si="3"/>
        <v>0</v>
      </c>
      <c r="F62" s="602">
        <v>0</v>
      </c>
      <c r="G62" s="603">
        <v>0</v>
      </c>
      <c r="H62" s="604">
        <v>0</v>
      </c>
      <c r="I62" s="605">
        <v>0</v>
      </c>
    </row>
    <row r="63" spans="1:9" outlineLevel="1" x14ac:dyDescent="0.3">
      <c r="A63" s="1156"/>
      <c r="B63" s="1157"/>
      <c r="C63" s="1157"/>
      <c r="D63" s="68" t="s">
        <v>33</v>
      </c>
      <c r="E63" s="72">
        <f t="shared" si="3"/>
        <v>0</v>
      </c>
      <c r="F63" s="602">
        <v>0</v>
      </c>
      <c r="G63" s="603">
        <v>0</v>
      </c>
      <c r="H63" s="604">
        <v>0</v>
      </c>
      <c r="I63" s="605">
        <v>0</v>
      </c>
    </row>
    <row r="64" spans="1:9" ht="15" outlineLevel="1" thickBot="1" x14ac:dyDescent="0.35">
      <c r="A64" s="1156"/>
      <c r="B64" s="1157"/>
      <c r="C64" s="1157"/>
      <c r="D64" s="69" t="s">
        <v>34</v>
      </c>
      <c r="E64" s="73">
        <f t="shared" si="3"/>
        <v>0</v>
      </c>
      <c r="F64" s="607">
        <v>0</v>
      </c>
      <c r="G64" s="608">
        <v>0</v>
      </c>
      <c r="H64" s="609">
        <v>0</v>
      </c>
      <c r="I64" s="610">
        <v>0</v>
      </c>
    </row>
    <row r="65" spans="1:9" outlineLevel="1" x14ac:dyDescent="0.3">
      <c r="A65" s="1156" t="s">
        <v>97</v>
      </c>
      <c r="B65" s="1157"/>
      <c r="C65" s="1157"/>
      <c r="D65" s="67" t="s">
        <v>25</v>
      </c>
      <c r="E65" s="72">
        <f t="shared" si="3"/>
        <v>0</v>
      </c>
      <c r="F65" s="597">
        <v>0</v>
      </c>
      <c r="G65" s="598">
        <v>0</v>
      </c>
      <c r="H65" s="599">
        <v>0</v>
      </c>
      <c r="I65" s="600">
        <v>0</v>
      </c>
    </row>
    <row r="66" spans="1:9" outlineLevel="1" x14ac:dyDescent="0.3">
      <c r="A66" s="1156"/>
      <c r="B66" s="1157"/>
      <c r="C66" s="1157"/>
      <c r="D66" s="68" t="s">
        <v>26</v>
      </c>
      <c r="E66" s="72">
        <f t="shared" si="3"/>
        <v>0</v>
      </c>
      <c r="F66" s="602">
        <v>0</v>
      </c>
      <c r="G66" s="603">
        <v>0</v>
      </c>
      <c r="H66" s="604">
        <v>0</v>
      </c>
      <c r="I66" s="605">
        <v>0</v>
      </c>
    </row>
    <row r="67" spans="1:9" outlineLevel="1" x14ac:dyDescent="0.3">
      <c r="A67" s="1156"/>
      <c r="B67" s="1157"/>
      <c r="C67" s="1157"/>
      <c r="D67" s="68" t="s">
        <v>27</v>
      </c>
      <c r="E67" s="72">
        <f t="shared" ref="E67:E84" si="4">SUM(F67:I67)</f>
        <v>0</v>
      </c>
      <c r="F67" s="602">
        <v>0</v>
      </c>
      <c r="G67" s="603">
        <v>0</v>
      </c>
      <c r="H67" s="604">
        <v>0</v>
      </c>
      <c r="I67" s="605">
        <v>0</v>
      </c>
    </row>
    <row r="68" spans="1:9" outlineLevel="1" x14ac:dyDescent="0.3">
      <c r="A68" s="1156"/>
      <c r="B68" s="1157"/>
      <c r="C68" s="1157"/>
      <c r="D68" s="68" t="s">
        <v>28</v>
      </c>
      <c r="E68" s="72">
        <f t="shared" si="4"/>
        <v>0</v>
      </c>
      <c r="F68" s="602">
        <v>0</v>
      </c>
      <c r="G68" s="603">
        <v>0</v>
      </c>
      <c r="H68" s="604">
        <v>0</v>
      </c>
      <c r="I68" s="605">
        <v>0</v>
      </c>
    </row>
    <row r="69" spans="1:9" outlineLevel="1" x14ac:dyDescent="0.3">
      <c r="A69" s="1156"/>
      <c r="B69" s="1157"/>
      <c r="C69" s="1157"/>
      <c r="D69" s="68" t="s">
        <v>29</v>
      </c>
      <c r="E69" s="72">
        <f t="shared" si="4"/>
        <v>0</v>
      </c>
      <c r="F69" s="602">
        <v>0</v>
      </c>
      <c r="G69" s="603">
        <v>0</v>
      </c>
      <c r="H69" s="604">
        <v>0</v>
      </c>
      <c r="I69" s="605">
        <v>0</v>
      </c>
    </row>
    <row r="70" spans="1:9" outlineLevel="1" x14ac:dyDescent="0.3">
      <c r="A70" s="1156"/>
      <c r="B70" s="1157"/>
      <c r="C70" s="1157"/>
      <c r="D70" s="68" t="s">
        <v>30</v>
      </c>
      <c r="E70" s="72">
        <f t="shared" si="4"/>
        <v>0</v>
      </c>
      <c r="F70" s="602">
        <v>0</v>
      </c>
      <c r="G70" s="603">
        <v>0</v>
      </c>
      <c r="H70" s="604">
        <v>0</v>
      </c>
      <c r="I70" s="605">
        <v>0</v>
      </c>
    </row>
    <row r="71" spans="1:9" outlineLevel="1" x14ac:dyDescent="0.3">
      <c r="A71" s="1156"/>
      <c r="B71" s="1157"/>
      <c r="C71" s="1157"/>
      <c r="D71" s="68" t="s">
        <v>31</v>
      </c>
      <c r="E71" s="72">
        <f t="shared" si="4"/>
        <v>0</v>
      </c>
      <c r="F71" s="602">
        <v>0</v>
      </c>
      <c r="G71" s="603">
        <v>0</v>
      </c>
      <c r="H71" s="604">
        <v>0</v>
      </c>
      <c r="I71" s="605">
        <v>0</v>
      </c>
    </row>
    <row r="72" spans="1:9" outlineLevel="1" x14ac:dyDescent="0.3">
      <c r="A72" s="1156"/>
      <c r="B72" s="1157"/>
      <c r="C72" s="1157"/>
      <c r="D72" s="68" t="s">
        <v>32</v>
      </c>
      <c r="E72" s="72">
        <f t="shared" si="4"/>
        <v>0</v>
      </c>
      <c r="F72" s="602">
        <v>0</v>
      </c>
      <c r="G72" s="603">
        <v>0</v>
      </c>
      <c r="H72" s="604">
        <v>0</v>
      </c>
      <c r="I72" s="605">
        <v>0</v>
      </c>
    </row>
    <row r="73" spans="1:9" outlineLevel="1" x14ac:dyDescent="0.3">
      <c r="A73" s="1156"/>
      <c r="B73" s="1157"/>
      <c r="C73" s="1157"/>
      <c r="D73" s="68" t="s">
        <v>33</v>
      </c>
      <c r="E73" s="72">
        <f t="shared" si="4"/>
        <v>0</v>
      </c>
      <c r="F73" s="602">
        <v>0</v>
      </c>
      <c r="G73" s="603">
        <v>0</v>
      </c>
      <c r="H73" s="604">
        <v>0</v>
      </c>
      <c r="I73" s="605">
        <v>0</v>
      </c>
    </row>
    <row r="74" spans="1:9" ht="15" outlineLevel="1" thickBot="1" x14ac:dyDescent="0.35">
      <c r="A74" s="1156"/>
      <c r="B74" s="1157"/>
      <c r="C74" s="1157"/>
      <c r="D74" s="69" t="s">
        <v>34</v>
      </c>
      <c r="E74" s="73">
        <f t="shared" si="4"/>
        <v>0</v>
      </c>
      <c r="F74" s="607">
        <v>0</v>
      </c>
      <c r="G74" s="608">
        <v>0</v>
      </c>
      <c r="H74" s="609">
        <v>0</v>
      </c>
      <c r="I74" s="610">
        <v>0</v>
      </c>
    </row>
    <row r="75" spans="1:9" outlineLevel="1" x14ac:dyDescent="0.3">
      <c r="A75" s="1156" t="s">
        <v>92</v>
      </c>
      <c r="B75" s="1157" t="s">
        <v>78</v>
      </c>
      <c r="C75" s="1156" t="s">
        <v>344</v>
      </c>
      <c r="D75" s="67" t="s">
        <v>25</v>
      </c>
      <c r="E75" s="72">
        <f t="shared" si="4"/>
        <v>0</v>
      </c>
      <c r="F75" s="597">
        <v>0</v>
      </c>
      <c r="G75" s="598">
        <v>0</v>
      </c>
      <c r="H75" s="599">
        <v>0</v>
      </c>
      <c r="I75" s="600">
        <v>0</v>
      </c>
    </row>
    <row r="76" spans="1:9" outlineLevel="1" x14ac:dyDescent="0.3">
      <c r="A76" s="1156"/>
      <c r="B76" s="1157"/>
      <c r="C76" s="1156"/>
      <c r="D76" s="68" t="s">
        <v>26</v>
      </c>
      <c r="E76" s="72">
        <f t="shared" si="4"/>
        <v>0</v>
      </c>
      <c r="F76" s="602">
        <v>0</v>
      </c>
      <c r="G76" s="603">
        <v>0</v>
      </c>
      <c r="H76" s="604">
        <v>0</v>
      </c>
      <c r="I76" s="605">
        <v>0</v>
      </c>
    </row>
    <row r="77" spans="1:9" outlineLevel="1" x14ac:dyDescent="0.3">
      <c r="A77" s="1156"/>
      <c r="B77" s="1157"/>
      <c r="C77" s="1156"/>
      <c r="D77" s="68" t="s">
        <v>27</v>
      </c>
      <c r="E77" s="72">
        <f t="shared" si="4"/>
        <v>0</v>
      </c>
      <c r="F77" s="602">
        <v>0</v>
      </c>
      <c r="G77" s="603">
        <v>0</v>
      </c>
      <c r="H77" s="604">
        <v>0</v>
      </c>
      <c r="I77" s="605">
        <v>0</v>
      </c>
    </row>
    <row r="78" spans="1:9" outlineLevel="1" x14ac:dyDescent="0.3">
      <c r="A78" s="1156"/>
      <c r="B78" s="1157"/>
      <c r="C78" s="1156"/>
      <c r="D78" s="68" t="s">
        <v>28</v>
      </c>
      <c r="E78" s="72">
        <f t="shared" si="4"/>
        <v>0</v>
      </c>
      <c r="F78" s="602">
        <v>0</v>
      </c>
      <c r="G78" s="603">
        <v>0</v>
      </c>
      <c r="H78" s="604">
        <v>0</v>
      </c>
      <c r="I78" s="605">
        <v>0</v>
      </c>
    </row>
    <row r="79" spans="1:9" outlineLevel="1" x14ac:dyDescent="0.3">
      <c r="A79" s="1156"/>
      <c r="B79" s="1157"/>
      <c r="C79" s="1156"/>
      <c r="D79" s="68" t="s">
        <v>29</v>
      </c>
      <c r="E79" s="72">
        <f t="shared" si="4"/>
        <v>0</v>
      </c>
      <c r="F79" s="602">
        <v>0</v>
      </c>
      <c r="G79" s="603">
        <v>0</v>
      </c>
      <c r="H79" s="604">
        <v>0</v>
      </c>
      <c r="I79" s="605">
        <v>0</v>
      </c>
    </row>
    <row r="80" spans="1:9" outlineLevel="1" x14ac:dyDescent="0.3">
      <c r="A80" s="1156"/>
      <c r="B80" s="1157"/>
      <c r="C80" s="1156"/>
      <c r="D80" s="68" t="s">
        <v>30</v>
      </c>
      <c r="E80" s="72">
        <f t="shared" si="4"/>
        <v>0</v>
      </c>
      <c r="F80" s="602">
        <v>0</v>
      </c>
      <c r="G80" s="603">
        <v>0</v>
      </c>
      <c r="H80" s="604">
        <v>0</v>
      </c>
      <c r="I80" s="605">
        <v>0</v>
      </c>
    </row>
    <row r="81" spans="1:9" outlineLevel="1" x14ac:dyDescent="0.3">
      <c r="A81" s="1156"/>
      <c r="B81" s="1157"/>
      <c r="C81" s="1156"/>
      <c r="D81" s="68" t="s">
        <v>31</v>
      </c>
      <c r="E81" s="72">
        <f t="shared" si="4"/>
        <v>0</v>
      </c>
      <c r="F81" s="602">
        <v>0</v>
      </c>
      <c r="G81" s="603">
        <v>0</v>
      </c>
      <c r="H81" s="604">
        <v>0</v>
      </c>
      <c r="I81" s="605">
        <v>0</v>
      </c>
    </row>
    <row r="82" spans="1:9" outlineLevel="1" x14ac:dyDescent="0.3">
      <c r="A82" s="1156"/>
      <c r="B82" s="1157"/>
      <c r="C82" s="1156"/>
      <c r="D82" s="68" t="s">
        <v>32</v>
      </c>
      <c r="E82" s="72">
        <f t="shared" si="4"/>
        <v>0</v>
      </c>
      <c r="F82" s="602">
        <v>0</v>
      </c>
      <c r="G82" s="603">
        <v>0</v>
      </c>
      <c r="H82" s="604">
        <v>0</v>
      </c>
      <c r="I82" s="605">
        <v>0</v>
      </c>
    </row>
    <row r="83" spans="1:9" outlineLevel="1" x14ac:dyDescent="0.3">
      <c r="A83" s="1156"/>
      <c r="B83" s="1157"/>
      <c r="C83" s="1156"/>
      <c r="D83" s="68" t="s">
        <v>33</v>
      </c>
      <c r="E83" s="72">
        <f t="shared" si="4"/>
        <v>0</v>
      </c>
      <c r="F83" s="602">
        <v>0</v>
      </c>
      <c r="G83" s="603">
        <v>0</v>
      </c>
      <c r="H83" s="604">
        <v>0</v>
      </c>
      <c r="I83" s="605">
        <v>0</v>
      </c>
    </row>
    <row r="84" spans="1:9" ht="15" outlineLevel="1" thickBot="1" x14ac:dyDescent="0.35">
      <c r="A84" s="1156"/>
      <c r="B84" s="1157"/>
      <c r="C84" s="1156"/>
      <c r="D84" s="69" t="s">
        <v>34</v>
      </c>
      <c r="E84" s="73">
        <f t="shared" si="4"/>
        <v>0</v>
      </c>
      <c r="F84" s="607">
        <v>0</v>
      </c>
      <c r="G84" s="608">
        <v>0</v>
      </c>
      <c r="H84" s="609">
        <v>0</v>
      </c>
      <c r="I84" s="610">
        <v>0</v>
      </c>
    </row>
    <row r="86" spans="1:9" x14ac:dyDescent="0.3">
      <c r="E86" s="625">
        <f>SUM(F86:H86)</f>
        <v>471120</v>
      </c>
      <c r="F86" s="625">
        <f>F3+F34</f>
        <v>115596</v>
      </c>
      <c r="G86" s="625">
        <f>G3+G34</f>
        <v>355212</v>
      </c>
      <c r="H86" s="625">
        <f>H3+H34</f>
        <v>312</v>
      </c>
      <c r="I86" s="625"/>
    </row>
    <row r="88" spans="1:9" x14ac:dyDescent="0.3">
      <c r="E88" s="764" t="s">
        <v>565</v>
      </c>
      <c r="F88" s="765">
        <v>0</v>
      </c>
      <c r="G88" s="765">
        <f>F88</f>
        <v>0</v>
      </c>
      <c r="H88" s="765">
        <f>F88</f>
        <v>0</v>
      </c>
      <c r="I88" s="765">
        <f>F88</f>
        <v>0</v>
      </c>
    </row>
  </sheetData>
  <mergeCells count="27">
    <mergeCell ref="A1:D1"/>
    <mergeCell ref="A65:A74"/>
    <mergeCell ref="B65:B74"/>
    <mergeCell ref="C65:C74"/>
    <mergeCell ref="A75:A84"/>
    <mergeCell ref="B75:B84"/>
    <mergeCell ref="C75:C84"/>
    <mergeCell ref="A45:A54"/>
    <mergeCell ref="B45:B54"/>
    <mergeCell ref="C45:C54"/>
    <mergeCell ref="A55:A64"/>
    <mergeCell ref="B55:B64"/>
    <mergeCell ref="C55:C64"/>
    <mergeCell ref="A35:A44"/>
    <mergeCell ref="B35:B44"/>
    <mergeCell ref="C35:C44"/>
    <mergeCell ref="A3:C3"/>
    <mergeCell ref="A24:A33"/>
    <mergeCell ref="B24:B33"/>
    <mergeCell ref="C24:C33"/>
    <mergeCell ref="A34:C34"/>
    <mergeCell ref="A4:A13"/>
    <mergeCell ref="B4:B13"/>
    <mergeCell ref="C4:C13"/>
    <mergeCell ref="A14:A23"/>
    <mergeCell ref="B14:B23"/>
    <mergeCell ref="C14:C23"/>
  </mergeCells>
  <pageMargins left="0.7" right="0.7" top="0.75" bottom="0.75" header="0.3" footer="0.3"/>
  <pageSetup paperSize="9" scale="39" orientation="portrait" r:id="rId1"/>
  <ignoredErrors>
    <ignoredError sqref="E34" formula="1"/>
  </ignoredErrors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J118"/>
  <sheetViews>
    <sheetView showGridLines="0" zoomScale="85" zoomScaleNormal="85" zoomScaleSheetLayoutView="80" workbookViewId="0">
      <pane xSplit="3" ySplit="3" topLeftCell="Q66" activePane="bottomRight" state="frozen"/>
      <selection activeCell="C1" sqref="C1"/>
      <selection pane="topRight" activeCell="D1" sqref="D1"/>
      <selection pane="bottomLeft" activeCell="C4" sqref="C4"/>
      <selection pane="bottomRight" activeCell="AJ89" sqref="AJ89"/>
    </sheetView>
  </sheetViews>
  <sheetFormatPr defaultColWidth="8.6640625" defaultRowHeight="11.4" x14ac:dyDescent="0.2"/>
  <cols>
    <col min="1" max="1" width="8.33203125" style="502" customWidth="1"/>
    <col min="2" max="2" width="14.6640625" style="503" customWidth="1"/>
    <col min="3" max="3" width="32.109375" style="498" bestFit="1" customWidth="1"/>
    <col min="4" max="4" width="27.33203125" style="498" bestFit="1" customWidth="1"/>
    <col min="5" max="5" width="9.6640625" style="498" customWidth="1"/>
    <col min="6" max="28" width="3.6640625" style="498" customWidth="1"/>
    <col min="29" max="32" width="8" style="498" customWidth="1"/>
    <col min="33" max="34" width="8" style="547" customWidth="1"/>
    <col min="35" max="35" width="10" style="547" customWidth="1"/>
    <col min="36" max="36" width="12.6640625" style="560" customWidth="1"/>
    <col min="37" max="37" width="4.5546875" style="498" customWidth="1"/>
    <col min="38" max="38" width="10.6640625" style="498" customWidth="1"/>
    <col min="39" max="41" width="8.6640625" style="498" customWidth="1"/>
    <col min="42" max="42" width="8.6640625" style="547" customWidth="1"/>
    <col min="43" max="43" width="10.6640625" style="547" customWidth="1"/>
    <col min="44" max="44" width="5.6640625" style="498" customWidth="1"/>
    <col min="45" max="45" width="8.6640625" style="498" customWidth="1"/>
    <col min="46" max="46" width="8.88671875" style="498" customWidth="1"/>
    <col min="47" max="47" width="8.6640625" style="498" customWidth="1"/>
    <col min="48" max="49" width="8.88671875" style="498" customWidth="1"/>
    <col min="50" max="50" width="11.88671875" style="498" customWidth="1"/>
    <col min="51" max="51" width="13.109375" style="498" customWidth="1"/>
    <col min="52" max="52" width="8.6640625" style="498"/>
    <col min="53" max="53" width="12.44140625" style="498" customWidth="1"/>
    <col min="54" max="54" width="27.44140625" style="498" customWidth="1"/>
    <col min="55" max="55" width="12.44140625" style="498" customWidth="1"/>
    <col min="56" max="57" width="13.109375" style="498" customWidth="1"/>
    <col min="58" max="58" width="9.44140625" style="498" bestFit="1" customWidth="1"/>
    <col min="59" max="59" width="11.33203125" style="498" customWidth="1"/>
    <col min="60" max="60" width="10.6640625" style="498" customWidth="1"/>
    <col min="61" max="61" width="10.33203125" style="498" bestFit="1" customWidth="1"/>
    <col min="62" max="16384" width="8.6640625" style="498"/>
  </cols>
  <sheetData>
    <row r="1" spans="1:51" ht="12" thickBot="1" x14ac:dyDescent="0.25">
      <c r="AL1" s="498" t="s">
        <v>340</v>
      </c>
      <c r="AS1" s="498" t="s">
        <v>341</v>
      </c>
      <c r="AW1" s="547"/>
      <c r="AX1" s="547"/>
    </row>
    <row r="2" spans="1:51" ht="36.75" customHeight="1" x14ac:dyDescent="0.25">
      <c r="A2" s="512" t="s">
        <v>748</v>
      </c>
      <c r="B2" s="513" t="s">
        <v>747</v>
      </c>
      <c r="C2" s="504" t="s">
        <v>118</v>
      </c>
      <c r="D2" s="505" t="s">
        <v>1</v>
      </c>
      <c r="E2" s="506" t="s">
        <v>119</v>
      </c>
      <c r="F2" s="507" t="s">
        <v>120</v>
      </c>
      <c r="G2" s="507" t="s">
        <v>121</v>
      </c>
      <c r="H2" s="507" t="s">
        <v>122</v>
      </c>
      <c r="I2" s="507" t="s">
        <v>123</v>
      </c>
      <c r="J2" s="507" t="s">
        <v>124</v>
      </c>
      <c r="K2" s="507" t="s">
        <v>125</v>
      </c>
      <c r="L2" s="507" t="s">
        <v>126</v>
      </c>
      <c r="M2" s="507" t="s">
        <v>127</v>
      </c>
      <c r="N2" s="507" t="s">
        <v>128</v>
      </c>
      <c r="O2" s="507" t="s">
        <v>129</v>
      </c>
      <c r="P2" s="508" t="s">
        <v>130</v>
      </c>
      <c r="Q2" s="507" t="s">
        <v>131</v>
      </c>
      <c r="R2" s="507" t="s">
        <v>132</v>
      </c>
      <c r="S2" s="507" t="s">
        <v>133</v>
      </c>
      <c r="T2" s="507" t="s">
        <v>134</v>
      </c>
      <c r="U2" s="507" t="s">
        <v>135</v>
      </c>
      <c r="V2" s="507" t="s">
        <v>136</v>
      </c>
      <c r="W2" s="507" t="s">
        <v>137</v>
      </c>
      <c r="X2" s="507" t="s">
        <v>138</v>
      </c>
      <c r="Y2" s="507" t="s">
        <v>139</v>
      </c>
      <c r="Z2" s="507" t="s">
        <v>140</v>
      </c>
      <c r="AA2" s="507" t="s">
        <v>379</v>
      </c>
      <c r="AB2" s="508" t="s">
        <v>141</v>
      </c>
      <c r="AC2" s="509" t="s">
        <v>142</v>
      </c>
      <c r="AD2" s="510" t="s">
        <v>143</v>
      </c>
      <c r="AE2" s="510" t="s">
        <v>144</v>
      </c>
      <c r="AF2" s="510" t="s">
        <v>145</v>
      </c>
      <c r="AG2" s="548" t="s">
        <v>758</v>
      </c>
      <c r="AH2" s="548" t="s">
        <v>640</v>
      </c>
      <c r="AI2" s="549" t="s">
        <v>146</v>
      </c>
      <c r="AJ2" s="550" t="s">
        <v>650</v>
      </c>
      <c r="AK2" s="511"/>
      <c r="AL2" s="509" t="s">
        <v>142</v>
      </c>
      <c r="AM2" s="510" t="s">
        <v>143</v>
      </c>
      <c r="AN2" s="510" t="s">
        <v>144</v>
      </c>
      <c r="AO2" s="510" t="s">
        <v>145</v>
      </c>
      <c r="AP2" s="549" t="s">
        <v>146</v>
      </c>
      <c r="AQ2" s="550" t="s">
        <v>650</v>
      </c>
      <c r="AS2" s="509" t="s">
        <v>142</v>
      </c>
      <c r="AT2" s="510" t="s">
        <v>143</v>
      </c>
      <c r="AU2" s="510" t="s">
        <v>144</v>
      </c>
      <c r="AV2" s="510" t="s">
        <v>145</v>
      </c>
      <c r="AW2" s="549" t="s">
        <v>146</v>
      </c>
      <c r="AX2" s="550" t="s">
        <v>650</v>
      </c>
    </row>
    <row r="3" spans="1:51" ht="14.25" customHeight="1" x14ac:dyDescent="0.25">
      <c r="A3" s="512"/>
      <c r="B3" s="513"/>
      <c r="C3" s="514"/>
      <c r="D3" s="515"/>
      <c r="E3" s="516"/>
      <c r="F3" s="517"/>
      <c r="G3" s="517"/>
      <c r="H3" s="517"/>
      <c r="I3" s="517"/>
      <c r="J3" s="517"/>
      <c r="K3" s="517"/>
      <c r="L3" s="517"/>
      <c r="M3" s="517"/>
      <c r="N3" s="517"/>
      <c r="O3" s="517"/>
      <c r="P3" s="518"/>
      <c r="Q3" s="517"/>
      <c r="R3" s="517"/>
      <c r="S3" s="517"/>
      <c r="T3" s="517"/>
      <c r="U3" s="517"/>
      <c r="V3" s="517"/>
      <c r="W3" s="517"/>
      <c r="X3" s="517"/>
      <c r="Y3" s="517"/>
      <c r="Z3" s="517"/>
      <c r="AA3" s="517"/>
      <c r="AB3" s="518"/>
      <c r="AC3" s="519"/>
      <c r="AD3" s="520"/>
      <c r="AE3" s="520"/>
      <c r="AF3" s="520"/>
      <c r="AG3" s="551"/>
      <c r="AH3" s="551"/>
      <c r="AI3" s="552"/>
      <c r="AJ3" s="553"/>
      <c r="AK3" s="521"/>
      <c r="AL3" s="519"/>
      <c r="AM3" s="520"/>
      <c r="AN3" s="520"/>
      <c r="AO3" s="520"/>
      <c r="AP3" s="552"/>
      <c r="AQ3" s="553"/>
      <c r="AS3" s="519"/>
      <c r="AT3" s="520"/>
      <c r="AU3" s="520"/>
      <c r="AV3" s="520"/>
      <c r="AW3" s="552"/>
      <c r="AX3" s="553"/>
    </row>
    <row r="4" spans="1:51" ht="13.2" x14ac:dyDescent="0.2">
      <c r="A4" s="502" t="s">
        <v>749</v>
      </c>
      <c r="C4" s="976" t="s">
        <v>652</v>
      </c>
      <c r="E4" s="539" t="s">
        <v>212</v>
      </c>
      <c r="F4" s="540"/>
      <c r="G4" s="540"/>
      <c r="H4" s="540"/>
      <c r="I4" s="540"/>
      <c r="J4" s="540"/>
      <c r="K4" s="540"/>
      <c r="L4" s="540"/>
      <c r="M4" s="540"/>
      <c r="N4" s="540"/>
      <c r="O4" s="540"/>
      <c r="P4" s="541"/>
      <c r="Q4" s="523"/>
      <c r="R4" s="523"/>
      <c r="S4" s="523"/>
      <c r="T4" s="523"/>
      <c r="U4" s="523"/>
      <c r="V4" s="523"/>
      <c r="W4" s="523"/>
      <c r="X4" s="523"/>
      <c r="Y4" s="523"/>
      <c r="Z4" s="523"/>
      <c r="AA4" s="523"/>
      <c r="AB4" s="524"/>
      <c r="AC4" s="525"/>
      <c r="AD4" s="526"/>
      <c r="AE4" s="526"/>
      <c r="AF4" s="526"/>
      <c r="AG4" s="554"/>
      <c r="AH4" s="554"/>
      <c r="AI4" s="555"/>
      <c r="AJ4" s="556"/>
      <c r="AK4" s="527"/>
      <c r="AL4" s="525"/>
      <c r="AM4" s="526"/>
      <c r="AN4" s="526"/>
      <c r="AO4" s="526"/>
      <c r="AP4" s="555"/>
      <c r="AQ4" s="556"/>
      <c r="AS4" s="525"/>
      <c r="AT4" s="526"/>
      <c r="AU4" s="526"/>
      <c r="AV4" s="526"/>
      <c r="AW4" s="555"/>
      <c r="AX4" s="556"/>
    </row>
    <row r="5" spans="1:51" ht="13.2" x14ac:dyDescent="0.2">
      <c r="A5" s="502" t="s">
        <v>749</v>
      </c>
      <c r="B5" s="503" t="s">
        <v>322</v>
      </c>
      <c r="C5" s="528" t="s">
        <v>713</v>
      </c>
      <c r="E5" s="529">
        <v>1</v>
      </c>
      <c r="F5" s="523">
        <v>1</v>
      </c>
      <c r="G5" s="523">
        <v>1</v>
      </c>
      <c r="H5" s="523">
        <v>1</v>
      </c>
      <c r="I5" s="523">
        <v>1</v>
      </c>
      <c r="J5" s="523">
        <v>1</v>
      </c>
      <c r="K5" s="523">
        <v>1</v>
      </c>
      <c r="L5" s="523">
        <v>1</v>
      </c>
      <c r="M5" s="523">
        <v>1</v>
      </c>
      <c r="N5" s="523">
        <v>1</v>
      </c>
      <c r="O5" s="523">
        <v>1</v>
      </c>
      <c r="P5" s="524">
        <v>1</v>
      </c>
      <c r="Q5" s="523">
        <v>1</v>
      </c>
      <c r="R5" s="523">
        <v>1</v>
      </c>
      <c r="S5" s="523">
        <v>1</v>
      </c>
      <c r="T5" s="523">
        <v>1</v>
      </c>
      <c r="U5" s="523">
        <v>1</v>
      </c>
      <c r="V5" s="523">
        <v>1</v>
      </c>
      <c r="W5" s="523">
        <v>1</v>
      </c>
      <c r="X5" s="523">
        <v>1</v>
      </c>
      <c r="Y5" s="523">
        <v>1</v>
      </c>
      <c r="Z5" s="523">
        <v>1</v>
      </c>
      <c r="AA5" s="523">
        <v>1</v>
      </c>
      <c r="AB5" s="523">
        <v>1</v>
      </c>
      <c r="AC5" s="530">
        <f t="shared" ref="AC5:AC10" si="0">COUNTA(E5:AB5)*21</f>
        <v>504</v>
      </c>
      <c r="AD5" s="531">
        <f>COUNTA(E5:AB5)*21</f>
        <v>504</v>
      </c>
      <c r="AE5" s="647"/>
      <c r="AF5" s="647">
        <v>0.35000000000000003</v>
      </c>
      <c r="AG5" s="979">
        <f>AF5*AD5</f>
        <v>176.4</v>
      </c>
      <c r="AH5" s="648">
        <f>$BE$58</f>
        <v>888</v>
      </c>
      <c r="AI5" s="640">
        <f>AC5*AE5*AG5</f>
        <v>0</v>
      </c>
      <c r="AJ5" s="641">
        <f t="shared" ref="AJ5:AJ86" si="1">AD5*AF5*AH5</f>
        <v>156643.20000000001</v>
      </c>
      <c r="AK5" s="527">
        <f t="shared" ref="AK5:AK10" si="2">AJ5/$AJ$90</f>
        <v>1.8663057303029165E-2</v>
      </c>
      <c r="AL5" s="530">
        <f t="shared" ref="AL5:AL10" si="3">COUNTA(E5:P5)*21</f>
        <v>252</v>
      </c>
      <c r="AM5" s="531">
        <f>AL5</f>
        <v>252</v>
      </c>
      <c r="AN5" s="647"/>
      <c r="AO5" s="647">
        <f>AF5</f>
        <v>0.35000000000000003</v>
      </c>
      <c r="AP5" s="555">
        <f t="shared" ref="AP5:AQ10" si="4">AL5*AN5*AG5</f>
        <v>0</v>
      </c>
      <c r="AQ5" s="556">
        <f t="shared" si="4"/>
        <v>78321.600000000006</v>
      </c>
      <c r="AS5" s="530">
        <f t="shared" ref="AS5:AS10" si="5">COUNTA(Q5:AB5)*21</f>
        <v>252</v>
      </c>
      <c r="AT5" s="531">
        <f>AS5</f>
        <v>252</v>
      </c>
      <c r="AU5" s="647"/>
      <c r="AV5" s="647">
        <f>AF5</f>
        <v>0.35000000000000003</v>
      </c>
      <c r="AW5" s="555">
        <f t="shared" ref="AW5:AX10" si="6">AS5*AU5*AG5</f>
        <v>0</v>
      </c>
      <c r="AX5" s="556">
        <f t="shared" si="6"/>
        <v>78321.600000000006</v>
      </c>
      <c r="AY5" s="547"/>
    </row>
    <row r="6" spans="1:51" ht="13.2" x14ac:dyDescent="0.2">
      <c r="A6" s="502" t="s">
        <v>749</v>
      </c>
      <c r="B6" s="503" t="s">
        <v>323</v>
      </c>
      <c r="C6" s="528" t="s">
        <v>714</v>
      </c>
      <c r="E6" s="529"/>
      <c r="F6" s="523"/>
      <c r="G6" s="523"/>
      <c r="H6" s="523"/>
      <c r="I6" s="523"/>
      <c r="J6" s="523"/>
      <c r="K6" s="523">
        <v>1</v>
      </c>
      <c r="L6" s="523">
        <v>1</v>
      </c>
      <c r="M6" s="523">
        <v>1</v>
      </c>
      <c r="N6" s="523">
        <v>1</v>
      </c>
      <c r="O6" s="523">
        <v>1</v>
      </c>
      <c r="P6" s="524">
        <v>1</v>
      </c>
      <c r="Q6" s="523">
        <v>1</v>
      </c>
      <c r="R6" s="523">
        <v>1</v>
      </c>
      <c r="S6" s="523">
        <v>1</v>
      </c>
      <c r="T6" s="523">
        <v>1</v>
      </c>
      <c r="U6" s="523">
        <v>1</v>
      </c>
      <c r="V6" s="523">
        <v>1</v>
      </c>
      <c r="W6" s="523">
        <v>1</v>
      </c>
      <c r="X6" s="523">
        <v>1</v>
      </c>
      <c r="Y6" s="523">
        <v>1</v>
      </c>
      <c r="Z6" s="523">
        <v>1</v>
      </c>
      <c r="AA6" s="523">
        <v>1</v>
      </c>
      <c r="AB6" s="523">
        <v>1</v>
      </c>
      <c r="AC6" s="530">
        <f t="shared" si="0"/>
        <v>378</v>
      </c>
      <c r="AD6" s="531">
        <f t="shared" ref="AD6:AD85" si="7">COUNTA(E6:AB6)*21</f>
        <v>378</v>
      </c>
      <c r="AE6" s="647"/>
      <c r="AF6" s="647">
        <v>1.35</v>
      </c>
      <c r="AG6" s="979">
        <f t="shared" ref="AG6:AG10" si="8">AF6*AD6</f>
        <v>510.3</v>
      </c>
      <c r="AH6" s="648">
        <f>$BE$59</f>
        <v>780</v>
      </c>
      <c r="AI6" s="640">
        <f t="shared" ref="AI6:AI85" si="9">AC6*AE6*AG6</f>
        <v>0</v>
      </c>
      <c r="AJ6" s="641">
        <f t="shared" si="1"/>
        <v>398034</v>
      </c>
      <c r="AK6" s="527">
        <f t="shared" si="2"/>
        <v>4.7423260955814929E-2</v>
      </c>
      <c r="AL6" s="530">
        <f t="shared" si="3"/>
        <v>126</v>
      </c>
      <c r="AM6" s="531">
        <f t="shared" ref="AM6:AM10" si="10">AL6</f>
        <v>126</v>
      </c>
      <c r="AN6" s="647"/>
      <c r="AO6" s="647">
        <f t="shared" ref="AO6:AO10" si="11">AF6</f>
        <v>1.35</v>
      </c>
      <c r="AP6" s="555">
        <f t="shared" si="4"/>
        <v>0</v>
      </c>
      <c r="AQ6" s="556">
        <f t="shared" si="4"/>
        <v>132678.00000000003</v>
      </c>
      <c r="AS6" s="530">
        <f t="shared" si="5"/>
        <v>252</v>
      </c>
      <c r="AT6" s="531">
        <f t="shared" ref="AT6:AT10" si="12">AS6</f>
        <v>252</v>
      </c>
      <c r="AU6" s="647"/>
      <c r="AV6" s="647">
        <f t="shared" ref="AV6:AV10" si="13">AF6</f>
        <v>1.35</v>
      </c>
      <c r="AW6" s="555">
        <f t="shared" si="6"/>
        <v>0</v>
      </c>
      <c r="AX6" s="556">
        <f t="shared" si="6"/>
        <v>265356.00000000006</v>
      </c>
      <c r="AY6" s="547"/>
    </row>
    <row r="7" spans="1:51" ht="13.2" x14ac:dyDescent="0.2">
      <c r="A7" s="502" t="s">
        <v>749</v>
      </c>
      <c r="B7" s="503" t="s">
        <v>324</v>
      </c>
      <c r="C7" s="528" t="s">
        <v>715</v>
      </c>
      <c r="E7" s="529"/>
      <c r="F7" s="523"/>
      <c r="G7" s="523"/>
      <c r="H7" s="523"/>
      <c r="I7" s="523"/>
      <c r="J7" s="523"/>
      <c r="K7" s="523"/>
      <c r="L7" s="523"/>
      <c r="M7" s="523">
        <v>1</v>
      </c>
      <c r="N7" s="523">
        <v>1</v>
      </c>
      <c r="O7" s="523">
        <v>1</v>
      </c>
      <c r="P7" s="524">
        <v>1</v>
      </c>
      <c r="Q7" s="523"/>
      <c r="R7" s="523">
        <v>1</v>
      </c>
      <c r="S7" s="523">
        <v>1</v>
      </c>
      <c r="T7" s="523">
        <v>1</v>
      </c>
      <c r="U7" s="523">
        <v>1</v>
      </c>
      <c r="V7" s="523"/>
      <c r="W7" s="523">
        <v>1</v>
      </c>
      <c r="X7" s="523">
        <v>1</v>
      </c>
      <c r="Y7" s="523">
        <v>1</v>
      </c>
      <c r="Z7" s="523">
        <v>1</v>
      </c>
      <c r="AA7" s="523">
        <v>1</v>
      </c>
      <c r="AB7" s="523">
        <v>1</v>
      </c>
      <c r="AC7" s="530">
        <f t="shared" si="0"/>
        <v>294</v>
      </c>
      <c r="AD7" s="531">
        <f t="shared" si="7"/>
        <v>294</v>
      </c>
      <c r="AE7" s="647"/>
      <c r="AF7" s="647">
        <v>0.35000000000000003</v>
      </c>
      <c r="AG7" s="979">
        <f t="shared" si="8"/>
        <v>102.9</v>
      </c>
      <c r="AH7" s="648">
        <f>$BE$60</f>
        <v>684</v>
      </c>
      <c r="AI7" s="640">
        <f t="shared" si="9"/>
        <v>0</v>
      </c>
      <c r="AJ7" s="641">
        <f t="shared" si="1"/>
        <v>70383.600000000006</v>
      </c>
      <c r="AK7" s="527">
        <f t="shared" si="2"/>
        <v>8.3857656125097251E-3</v>
      </c>
      <c r="AL7" s="530">
        <f t="shared" si="3"/>
        <v>84</v>
      </c>
      <c r="AM7" s="531">
        <f t="shared" si="10"/>
        <v>84</v>
      </c>
      <c r="AN7" s="647"/>
      <c r="AO7" s="647">
        <f t="shared" si="11"/>
        <v>0.35000000000000003</v>
      </c>
      <c r="AP7" s="555">
        <f t="shared" si="4"/>
        <v>0</v>
      </c>
      <c r="AQ7" s="556">
        <f t="shared" si="4"/>
        <v>20109.600000000002</v>
      </c>
      <c r="AS7" s="530">
        <f t="shared" si="5"/>
        <v>210</v>
      </c>
      <c r="AT7" s="531">
        <f t="shared" si="12"/>
        <v>210</v>
      </c>
      <c r="AU7" s="647"/>
      <c r="AV7" s="647">
        <f t="shared" si="13"/>
        <v>0.35000000000000003</v>
      </c>
      <c r="AW7" s="555">
        <f t="shared" si="6"/>
        <v>0</v>
      </c>
      <c r="AX7" s="556">
        <f t="shared" si="6"/>
        <v>50274</v>
      </c>
      <c r="AY7" s="547"/>
    </row>
    <row r="8" spans="1:51" ht="13.35" customHeight="1" x14ac:dyDescent="0.2">
      <c r="A8" s="502" t="s">
        <v>749</v>
      </c>
      <c r="B8" s="503" t="s">
        <v>325</v>
      </c>
      <c r="C8" s="528" t="s">
        <v>716</v>
      </c>
      <c r="E8" s="529"/>
      <c r="F8" s="523"/>
      <c r="G8" s="523"/>
      <c r="H8" s="523"/>
      <c r="I8" s="523"/>
      <c r="J8" s="523"/>
      <c r="K8" s="523"/>
      <c r="L8" s="523"/>
      <c r="M8" s="523"/>
      <c r="N8" s="523"/>
      <c r="O8" s="523"/>
      <c r="P8" s="524">
        <v>1</v>
      </c>
      <c r="Q8" s="523"/>
      <c r="R8" s="523"/>
      <c r="S8" s="523"/>
      <c r="T8" s="523"/>
      <c r="U8" s="523">
        <v>1</v>
      </c>
      <c r="V8" s="523"/>
      <c r="W8" s="523">
        <v>1</v>
      </c>
      <c r="X8" s="523"/>
      <c r="Y8" s="523">
        <v>1</v>
      </c>
      <c r="Z8" s="523"/>
      <c r="AA8" s="523">
        <v>1</v>
      </c>
      <c r="AB8" s="523">
        <v>1</v>
      </c>
      <c r="AC8" s="530">
        <f t="shared" si="0"/>
        <v>126</v>
      </c>
      <c r="AD8" s="531">
        <f t="shared" si="7"/>
        <v>126</v>
      </c>
      <c r="AE8" s="647"/>
      <c r="AF8" s="647">
        <v>0.02</v>
      </c>
      <c r="AG8" s="979">
        <f t="shared" si="8"/>
        <v>2.52</v>
      </c>
      <c r="AH8" s="648">
        <f>$BE$63</f>
        <v>684</v>
      </c>
      <c r="AI8" s="640">
        <f t="shared" si="9"/>
        <v>0</v>
      </c>
      <c r="AJ8" s="641">
        <f t="shared" si="1"/>
        <v>1723.68</v>
      </c>
      <c r="AK8" s="527">
        <f t="shared" si="2"/>
        <v>2.0536568846962592E-4</v>
      </c>
      <c r="AL8" s="530">
        <f t="shared" si="3"/>
        <v>21</v>
      </c>
      <c r="AM8" s="531">
        <f t="shared" si="10"/>
        <v>21</v>
      </c>
      <c r="AN8" s="647"/>
      <c r="AO8" s="647">
        <f t="shared" si="11"/>
        <v>0.02</v>
      </c>
      <c r="AP8" s="555">
        <f t="shared" si="4"/>
        <v>0</v>
      </c>
      <c r="AQ8" s="556">
        <f t="shared" si="4"/>
        <v>287.27999999999997</v>
      </c>
      <c r="AS8" s="530">
        <f t="shared" si="5"/>
        <v>105</v>
      </c>
      <c r="AT8" s="531">
        <f t="shared" si="12"/>
        <v>105</v>
      </c>
      <c r="AU8" s="647"/>
      <c r="AV8" s="647">
        <f t="shared" si="13"/>
        <v>0.02</v>
      </c>
      <c r="AW8" s="555">
        <f t="shared" si="6"/>
        <v>0</v>
      </c>
      <c r="AX8" s="556">
        <f t="shared" si="6"/>
        <v>1436.4</v>
      </c>
      <c r="AY8" s="547"/>
    </row>
    <row r="9" spans="1:51" ht="13.2" x14ac:dyDescent="0.2">
      <c r="A9" s="502" t="s">
        <v>749</v>
      </c>
      <c r="B9" s="503" t="s">
        <v>326</v>
      </c>
      <c r="C9" s="528" t="s">
        <v>717</v>
      </c>
      <c r="E9" s="529"/>
      <c r="F9" s="523"/>
      <c r="G9" s="523"/>
      <c r="H9" s="523"/>
      <c r="I9" s="523"/>
      <c r="J9" s="523"/>
      <c r="K9" s="523"/>
      <c r="L9" s="523"/>
      <c r="M9" s="523"/>
      <c r="N9" s="523">
        <v>1</v>
      </c>
      <c r="O9" s="523">
        <v>1</v>
      </c>
      <c r="P9" s="524">
        <v>1</v>
      </c>
      <c r="Q9" s="523"/>
      <c r="R9" s="523">
        <v>1</v>
      </c>
      <c r="S9" s="523">
        <v>1</v>
      </c>
      <c r="T9" s="523">
        <v>1</v>
      </c>
      <c r="U9" s="523">
        <v>1</v>
      </c>
      <c r="V9" s="523"/>
      <c r="W9" s="523">
        <v>1</v>
      </c>
      <c r="X9" s="523"/>
      <c r="Y9" s="523">
        <v>1</v>
      </c>
      <c r="Z9" s="523"/>
      <c r="AA9" s="523"/>
      <c r="AB9" s="523">
        <v>1</v>
      </c>
      <c r="AC9" s="530">
        <f t="shared" si="0"/>
        <v>210</v>
      </c>
      <c r="AD9" s="531">
        <f t="shared" si="7"/>
        <v>210</v>
      </c>
      <c r="AE9" s="647"/>
      <c r="AF9" s="647">
        <v>0.75</v>
      </c>
      <c r="AG9" s="979">
        <f t="shared" si="8"/>
        <v>157.5</v>
      </c>
      <c r="AH9" s="648">
        <f>$BE$59</f>
        <v>780</v>
      </c>
      <c r="AI9" s="640">
        <f t="shared" si="9"/>
        <v>0</v>
      </c>
      <c r="AJ9" s="641">
        <f t="shared" si="1"/>
        <v>122850</v>
      </c>
      <c r="AK9" s="527">
        <f t="shared" si="2"/>
        <v>1.4636808936979917E-2</v>
      </c>
      <c r="AL9" s="530">
        <f t="shared" si="3"/>
        <v>63</v>
      </c>
      <c r="AM9" s="531">
        <f t="shared" si="10"/>
        <v>63</v>
      </c>
      <c r="AN9" s="647"/>
      <c r="AO9" s="647">
        <f t="shared" si="11"/>
        <v>0.75</v>
      </c>
      <c r="AP9" s="555">
        <f t="shared" si="4"/>
        <v>0</v>
      </c>
      <c r="AQ9" s="556">
        <f t="shared" si="4"/>
        <v>36855</v>
      </c>
      <c r="AS9" s="530">
        <f t="shared" si="5"/>
        <v>147</v>
      </c>
      <c r="AT9" s="531">
        <f t="shared" si="12"/>
        <v>147</v>
      </c>
      <c r="AU9" s="647"/>
      <c r="AV9" s="647">
        <f t="shared" si="13"/>
        <v>0.75</v>
      </c>
      <c r="AW9" s="555">
        <f t="shared" si="6"/>
        <v>0</v>
      </c>
      <c r="AX9" s="556">
        <f t="shared" si="6"/>
        <v>85995</v>
      </c>
      <c r="AY9" s="547"/>
    </row>
    <row r="10" spans="1:51" ht="13.2" x14ac:dyDescent="0.2">
      <c r="A10" s="502" t="s">
        <v>749</v>
      </c>
      <c r="B10" s="503" t="s">
        <v>327</v>
      </c>
      <c r="C10" s="528" t="s">
        <v>718</v>
      </c>
      <c r="E10" s="529"/>
      <c r="F10" s="523"/>
      <c r="G10" s="523"/>
      <c r="H10" s="523"/>
      <c r="I10" s="523"/>
      <c r="J10" s="523"/>
      <c r="K10" s="523"/>
      <c r="L10" s="523"/>
      <c r="M10" s="523"/>
      <c r="N10" s="523"/>
      <c r="O10" s="523"/>
      <c r="P10" s="524">
        <v>1</v>
      </c>
      <c r="Q10" s="523"/>
      <c r="R10" s="523"/>
      <c r="S10" s="523"/>
      <c r="T10" s="523"/>
      <c r="U10" s="523">
        <v>1</v>
      </c>
      <c r="V10" s="523"/>
      <c r="W10" s="523"/>
      <c r="X10" s="523"/>
      <c r="Y10" s="523">
        <v>1</v>
      </c>
      <c r="Z10" s="523"/>
      <c r="AA10" s="523"/>
      <c r="AB10" s="523">
        <v>1</v>
      </c>
      <c r="AC10" s="530">
        <f t="shared" si="0"/>
        <v>84</v>
      </c>
      <c r="AD10" s="531">
        <f t="shared" si="7"/>
        <v>84</v>
      </c>
      <c r="AE10" s="647"/>
      <c r="AF10" s="647">
        <v>0.03</v>
      </c>
      <c r="AG10" s="979">
        <f t="shared" si="8"/>
        <v>2.52</v>
      </c>
      <c r="AH10" s="648">
        <f>$BE$61</f>
        <v>948</v>
      </c>
      <c r="AI10" s="640">
        <f t="shared" si="9"/>
        <v>0</v>
      </c>
      <c r="AJ10" s="641">
        <f t="shared" si="1"/>
        <v>2388.96</v>
      </c>
      <c r="AK10" s="527">
        <f t="shared" si="2"/>
        <v>2.8462963840527103E-4</v>
      </c>
      <c r="AL10" s="530">
        <f t="shared" si="3"/>
        <v>21</v>
      </c>
      <c r="AM10" s="531">
        <f t="shared" si="10"/>
        <v>21</v>
      </c>
      <c r="AN10" s="647"/>
      <c r="AO10" s="647">
        <f t="shared" si="11"/>
        <v>0.03</v>
      </c>
      <c r="AP10" s="555">
        <f t="shared" si="4"/>
        <v>0</v>
      </c>
      <c r="AQ10" s="556">
        <f t="shared" si="4"/>
        <v>597.24</v>
      </c>
      <c r="AS10" s="530">
        <f t="shared" si="5"/>
        <v>63</v>
      </c>
      <c r="AT10" s="531">
        <f t="shared" si="12"/>
        <v>63</v>
      </c>
      <c r="AU10" s="647"/>
      <c r="AV10" s="647">
        <f t="shared" si="13"/>
        <v>0.03</v>
      </c>
      <c r="AW10" s="555">
        <f t="shared" si="6"/>
        <v>0</v>
      </c>
      <c r="AX10" s="556">
        <f t="shared" si="6"/>
        <v>1791.7199999999998</v>
      </c>
      <c r="AY10" s="547"/>
    </row>
    <row r="11" spans="1:51" ht="13.2" x14ac:dyDescent="0.2">
      <c r="A11" s="502" t="s">
        <v>749</v>
      </c>
      <c r="C11" s="976" t="s">
        <v>742</v>
      </c>
      <c r="E11" s="529"/>
      <c r="F11" s="523"/>
      <c r="G11" s="523"/>
      <c r="H11" s="523"/>
      <c r="I11" s="523"/>
      <c r="J11" s="523"/>
      <c r="K11" s="523"/>
      <c r="L11" s="523"/>
      <c r="M11" s="523"/>
      <c r="N11" s="523"/>
      <c r="O11" s="523"/>
      <c r="P11" s="524"/>
      <c r="Q11" s="523"/>
      <c r="R11" s="523"/>
      <c r="S11" s="523"/>
      <c r="T11" s="523"/>
      <c r="U11" s="523"/>
      <c r="V11" s="523"/>
      <c r="W11" s="523"/>
      <c r="X11" s="523"/>
      <c r="Y11" s="523"/>
      <c r="Z11" s="523"/>
      <c r="AA11" s="523"/>
      <c r="AB11" s="523"/>
      <c r="AC11" s="530"/>
      <c r="AD11" s="531"/>
      <c r="AE11" s="644"/>
      <c r="AF11" s="647"/>
      <c r="AG11" s="979"/>
      <c r="AH11" s="648"/>
      <c r="AI11" s="640"/>
      <c r="AJ11" s="641"/>
      <c r="AK11" s="527"/>
      <c r="AL11" s="530"/>
      <c r="AM11" s="531"/>
      <c r="AN11" s="647"/>
      <c r="AO11" s="647"/>
      <c r="AP11" s="555"/>
      <c r="AQ11" s="556"/>
      <c r="AS11" s="530"/>
      <c r="AT11" s="531"/>
      <c r="AU11" s="647"/>
      <c r="AV11" s="647"/>
      <c r="AW11" s="555"/>
      <c r="AX11" s="556"/>
      <c r="AY11" s="547"/>
    </row>
    <row r="12" spans="1:51" ht="13.2" x14ac:dyDescent="0.2">
      <c r="A12" s="502" t="s">
        <v>749</v>
      </c>
      <c r="B12" s="503" t="s">
        <v>322</v>
      </c>
      <c r="C12" s="528" t="s">
        <v>707</v>
      </c>
      <c r="E12" s="529">
        <v>1</v>
      </c>
      <c r="F12" s="523">
        <v>1</v>
      </c>
      <c r="G12" s="523">
        <v>1</v>
      </c>
      <c r="H12" s="523">
        <v>1</v>
      </c>
      <c r="I12" s="523">
        <v>1</v>
      </c>
      <c r="J12" s="523">
        <v>1</v>
      </c>
      <c r="K12" s="523">
        <v>1</v>
      </c>
      <c r="L12" s="523">
        <v>1</v>
      </c>
      <c r="M12" s="523">
        <v>1</v>
      </c>
      <c r="N12" s="523">
        <v>1</v>
      </c>
      <c r="O12" s="523">
        <v>1</v>
      </c>
      <c r="P12" s="524">
        <v>1</v>
      </c>
      <c r="Q12" s="523">
        <v>1</v>
      </c>
      <c r="R12" s="523">
        <v>1</v>
      </c>
      <c r="S12" s="523">
        <v>1</v>
      </c>
      <c r="T12" s="523">
        <v>1</v>
      </c>
      <c r="U12" s="523">
        <v>1</v>
      </c>
      <c r="V12" s="523">
        <v>1</v>
      </c>
      <c r="W12" s="523">
        <v>1</v>
      </c>
      <c r="X12" s="523">
        <v>1</v>
      </c>
      <c r="Y12" s="523">
        <v>1</v>
      </c>
      <c r="Z12" s="523">
        <v>1</v>
      </c>
      <c r="AA12" s="523">
        <v>1</v>
      </c>
      <c r="AB12" s="523">
        <v>1</v>
      </c>
      <c r="AC12" s="530">
        <f t="shared" ref="AC12:AC17" si="14">COUNTA(E12:AB12)*21</f>
        <v>504</v>
      </c>
      <c r="AD12" s="531">
        <f>COUNTA(E12:AB12)*21</f>
        <v>504</v>
      </c>
      <c r="AE12" s="647"/>
      <c r="AF12" s="647">
        <v>1.4</v>
      </c>
      <c r="AG12" s="979">
        <f>AF12*AD12</f>
        <v>705.59999999999991</v>
      </c>
      <c r="AH12" s="648">
        <f>$BE$58</f>
        <v>888</v>
      </c>
      <c r="AI12" s="640">
        <f>AC12*AE12*AG12</f>
        <v>0</v>
      </c>
      <c r="AJ12" s="641">
        <f t="shared" ref="AJ12:AJ17" si="15">AD12*AF12*AH12</f>
        <v>626572.79999999993</v>
      </c>
      <c r="AK12" s="527">
        <f t="shared" ref="AK12:AK17" si="16">AJ12/$AJ$90</f>
        <v>7.4652229212116644E-2</v>
      </c>
      <c r="AL12" s="530">
        <f t="shared" ref="AL12:AL17" si="17">COUNTA(E12:P12)*21</f>
        <v>252</v>
      </c>
      <c r="AM12" s="531">
        <f>AL12</f>
        <v>252</v>
      </c>
      <c r="AN12" s="647"/>
      <c r="AO12" s="647">
        <f>AF12</f>
        <v>1.4</v>
      </c>
      <c r="AP12" s="555">
        <f t="shared" ref="AP12:AP17" si="18">AL12*AN12*AG12</f>
        <v>0</v>
      </c>
      <c r="AQ12" s="556">
        <f t="shared" ref="AQ12:AQ17" si="19">AM12*AO12*AH12</f>
        <v>313286.39999999997</v>
      </c>
      <c r="AS12" s="530">
        <f t="shared" ref="AS12:AS17" si="20">COUNTA(Q12:AB12)*21</f>
        <v>252</v>
      </c>
      <c r="AT12" s="531">
        <f>AS12</f>
        <v>252</v>
      </c>
      <c r="AU12" s="647"/>
      <c r="AV12" s="647">
        <f>AF12</f>
        <v>1.4</v>
      </c>
      <c r="AW12" s="555">
        <f t="shared" ref="AW12:AW17" si="21">AS12*AU12*AG12</f>
        <v>0</v>
      </c>
      <c r="AX12" s="556">
        <f t="shared" ref="AX12:AX17" si="22">AT12*AV12*AH12</f>
        <v>313286.39999999997</v>
      </c>
      <c r="AY12" s="547"/>
    </row>
    <row r="13" spans="1:51" ht="13.2" x14ac:dyDescent="0.2">
      <c r="A13" s="502" t="s">
        <v>749</v>
      </c>
      <c r="B13" s="503" t="s">
        <v>323</v>
      </c>
      <c r="C13" s="528" t="s">
        <v>708</v>
      </c>
      <c r="E13" s="529"/>
      <c r="F13" s="523"/>
      <c r="G13" s="523"/>
      <c r="H13" s="523"/>
      <c r="I13" s="523"/>
      <c r="J13" s="523"/>
      <c r="K13" s="523">
        <v>1</v>
      </c>
      <c r="L13" s="523">
        <v>1</v>
      </c>
      <c r="M13" s="523">
        <v>1</v>
      </c>
      <c r="N13" s="523">
        <v>1</v>
      </c>
      <c r="O13" s="523">
        <v>1</v>
      </c>
      <c r="P13" s="524">
        <v>1</v>
      </c>
      <c r="Q13" s="523">
        <v>1</v>
      </c>
      <c r="R13" s="523">
        <v>1</v>
      </c>
      <c r="S13" s="523">
        <v>1</v>
      </c>
      <c r="T13" s="523">
        <v>1</v>
      </c>
      <c r="U13" s="523">
        <v>1</v>
      </c>
      <c r="V13" s="523">
        <v>1</v>
      </c>
      <c r="W13" s="523">
        <v>1</v>
      </c>
      <c r="X13" s="523">
        <v>1</v>
      </c>
      <c r="Y13" s="523">
        <v>1</v>
      </c>
      <c r="Z13" s="523">
        <v>1</v>
      </c>
      <c r="AA13" s="523">
        <v>1</v>
      </c>
      <c r="AB13" s="523">
        <v>1</v>
      </c>
      <c r="AC13" s="530">
        <f t="shared" si="14"/>
        <v>378</v>
      </c>
      <c r="AD13" s="531">
        <f t="shared" ref="AD13:AD17" si="23">COUNTA(E13:AB13)*21</f>
        <v>378</v>
      </c>
      <c r="AE13" s="647"/>
      <c r="AF13" s="647">
        <v>5.5</v>
      </c>
      <c r="AG13" s="979">
        <f t="shared" ref="AG13:AG17" si="24">AF13*AD13</f>
        <v>2079</v>
      </c>
      <c r="AH13" s="648">
        <f>$BE$59</f>
        <v>780</v>
      </c>
      <c r="AI13" s="640">
        <f t="shared" ref="AI13:AI17" si="25">AC13*AE13*AG13</f>
        <v>0</v>
      </c>
      <c r="AJ13" s="641">
        <f t="shared" si="15"/>
        <v>1621620</v>
      </c>
      <c r="AK13" s="527">
        <f t="shared" si="16"/>
        <v>0.1932058779681349</v>
      </c>
      <c r="AL13" s="530">
        <f t="shared" si="17"/>
        <v>126</v>
      </c>
      <c r="AM13" s="531">
        <f t="shared" ref="AM13:AM17" si="26">AL13</f>
        <v>126</v>
      </c>
      <c r="AN13" s="647"/>
      <c r="AO13" s="647">
        <f t="shared" ref="AO13:AO17" si="27">AF13</f>
        <v>5.5</v>
      </c>
      <c r="AP13" s="555">
        <f t="shared" si="18"/>
        <v>0</v>
      </c>
      <c r="AQ13" s="556">
        <f t="shared" si="19"/>
        <v>540540</v>
      </c>
      <c r="AS13" s="530">
        <f t="shared" si="20"/>
        <v>252</v>
      </c>
      <c r="AT13" s="531">
        <f t="shared" ref="AT13:AT17" si="28">AS13</f>
        <v>252</v>
      </c>
      <c r="AU13" s="647"/>
      <c r="AV13" s="647">
        <f t="shared" ref="AV13:AV17" si="29">AF13</f>
        <v>5.5</v>
      </c>
      <c r="AW13" s="555">
        <f t="shared" si="21"/>
        <v>0</v>
      </c>
      <c r="AX13" s="556">
        <f t="shared" si="22"/>
        <v>1081080</v>
      </c>
      <c r="AY13" s="547"/>
    </row>
    <row r="14" spans="1:51" ht="13.2" x14ac:dyDescent="0.2">
      <c r="A14" s="502" t="s">
        <v>749</v>
      </c>
      <c r="B14" s="503" t="s">
        <v>324</v>
      </c>
      <c r="C14" s="528" t="s">
        <v>709</v>
      </c>
      <c r="E14" s="529"/>
      <c r="F14" s="523"/>
      <c r="G14" s="523"/>
      <c r="H14" s="523"/>
      <c r="I14" s="523"/>
      <c r="J14" s="523"/>
      <c r="K14" s="523"/>
      <c r="L14" s="523"/>
      <c r="M14" s="523">
        <v>1</v>
      </c>
      <c r="N14" s="523">
        <v>1</v>
      </c>
      <c r="O14" s="523">
        <v>1</v>
      </c>
      <c r="P14" s="524">
        <v>1</v>
      </c>
      <c r="Q14" s="523"/>
      <c r="R14" s="523">
        <v>1</v>
      </c>
      <c r="S14" s="523">
        <v>1</v>
      </c>
      <c r="T14" s="523">
        <v>1</v>
      </c>
      <c r="U14" s="523">
        <v>1</v>
      </c>
      <c r="V14" s="523"/>
      <c r="W14" s="523">
        <v>1</v>
      </c>
      <c r="X14" s="523">
        <v>1</v>
      </c>
      <c r="Y14" s="523">
        <v>1</v>
      </c>
      <c r="Z14" s="523">
        <v>1</v>
      </c>
      <c r="AA14" s="523">
        <v>1</v>
      </c>
      <c r="AB14" s="523">
        <v>1</v>
      </c>
      <c r="AC14" s="530">
        <f t="shared" si="14"/>
        <v>294</v>
      </c>
      <c r="AD14" s="531">
        <f t="shared" si="23"/>
        <v>294</v>
      </c>
      <c r="AE14" s="647"/>
      <c r="AF14" s="647">
        <v>1.4</v>
      </c>
      <c r="AG14" s="979">
        <f t="shared" si="24"/>
        <v>411.59999999999997</v>
      </c>
      <c r="AH14" s="648">
        <f>$BE$60</f>
        <v>684</v>
      </c>
      <c r="AI14" s="640">
        <f t="shared" si="25"/>
        <v>0</v>
      </c>
      <c r="AJ14" s="641">
        <f t="shared" si="15"/>
        <v>281534.39999999997</v>
      </c>
      <c r="AK14" s="527">
        <f t="shared" si="16"/>
        <v>3.3543062450038894E-2</v>
      </c>
      <c r="AL14" s="530">
        <f t="shared" si="17"/>
        <v>84</v>
      </c>
      <c r="AM14" s="531">
        <f t="shared" si="26"/>
        <v>84</v>
      </c>
      <c r="AN14" s="647"/>
      <c r="AO14" s="647">
        <f t="shared" si="27"/>
        <v>1.4</v>
      </c>
      <c r="AP14" s="555">
        <f t="shared" si="18"/>
        <v>0</v>
      </c>
      <c r="AQ14" s="556">
        <f t="shared" si="19"/>
        <v>80438.399999999994</v>
      </c>
      <c r="AS14" s="530">
        <f t="shared" si="20"/>
        <v>210</v>
      </c>
      <c r="AT14" s="531">
        <f t="shared" si="28"/>
        <v>210</v>
      </c>
      <c r="AU14" s="647"/>
      <c r="AV14" s="647">
        <f t="shared" si="29"/>
        <v>1.4</v>
      </c>
      <c r="AW14" s="555">
        <f t="shared" si="21"/>
        <v>0</v>
      </c>
      <c r="AX14" s="556">
        <f t="shared" si="22"/>
        <v>201096</v>
      </c>
      <c r="AY14" s="547"/>
    </row>
    <row r="15" spans="1:51" ht="13.35" customHeight="1" x14ac:dyDescent="0.2">
      <c r="A15" s="502" t="s">
        <v>749</v>
      </c>
      <c r="B15" s="503" t="s">
        <v>325</v>
      </c>
      <c r="C15" s="528" t="s">
        <v>710</v>
      </c>
      <c r="E15" s="529"/>
      <c r="F15" s="523"/>
      <c r="G15" s="523"/>
      <c r="H15" s="523"/>
      <c r="I15" s="523"/>
      <c r="J15" s="523"/>
      <c r="K15" s="523"/>
      <c r="L15" s="523"/>
      <c r="M15" s="523"/>
      <c r="N15" s="523"/>
      <c r="O15" s="523"/>
      <c r="P15" s="524">
        <v>1</v>
      </c>
      <c r="Q15" s="523"/>
      <c r="R15" s="523"/>
      <c r="S15" s="523"/>
      <c r="T15" s="523"/>
      <c r="U15" s="523">
        <v>1</v>
      </c>
      <c r="V15" s="523"/>
      <c r="W15" s="523">
        <v>1</v>
      </c>
      <c r="X15" s="523"/>
      <c r="Y15" s="523">
        <v>1</v>
      </c>
      <c r="Z15" s="523"/>
      <c r="AA15" s="523">
        <v>1</v>
      </c>
      <c r="AB15" s="523">
        <v>1</v>
      </c>
      <c r="AC15" s="530">
        <f t="shared" si="14"/>
        <v>126</v>
      </c>
      <c r="AD15" s="531">
        <f t="shared" si="23"/>
        <v>126</v>
      </c>
      <c r="AE15" s="647"/>
      <c r="AF15" s="647">
        <v>6.0000000000000005E-2</v>
      </c>
      <c r="AG15" s="979">
        <f t="shared" si="24"/>
        <v>7.5600000000000005</v>
      </c>
      <c r="AH15" s="648">
        <f>$BE$63</f>
        <v>684</v>
      </c>
      <c r="AI15" s="640">
        <f t="shared" si="25"/>
        <v>0</v>
      </c>
      <c r="AJ15" s="641">
        <f t="shared" si="15"/>
        <v>5171.04</v>
      </c>
      <c r="AK15" s="527">
        <f t="shared" si="16"/>
        <v>6.1609706540887777E-4</v>
      </c>
      <c r="AL15" s="530">
        <f t="shared" si="17"/>
        <v>21</v>
      </c>
      <c r="AM15" s="531">
        <f t="shared" si="26"/>
        <v>21</v>
      </c>
      <c r="AN15" s="647"/>
      <c r="AO15" s="647">
        <f t="shared" si="27"/>
        <v>6.0000000000000005E-2</v>
      </c>
      <c r="AP15" s="555">
        <f t="shared" si="18"/>
        <v>0</v>
      </c>
      <c r="AQ15" s="556">
        <f t="shared" si="19"/>
        <v>861.84</v>
      </c>
      <c r="AS15" s="530">
        <f t="shared" si="20"/>
        <v>105</v>
      </c>
      <c r="AT15" s="531">
        <f t="shared" si="28"/>
        <v>105</v>
      </c>
      <c r="AU15" s="647"/>
      <c r="AV15" s="647">
        <f t="shared" si="29"/>
        <v>6.0000000000000005E-2</v>
      </c>
      <c r="AW15" s="555">
        <f t="shared" si="21"/>
        <v>0</v>
      </c>
      <c r="AX15" s="556">
        <f t="shared" si="22"/>
        <v>4309.2000000000007</v>
      </c>
      <c r="AY15" s="547"/>
    </row>
    <row r="16" spans="1:51" ht="13.2" x14ac:dyDescent="0.2">
      <c r="A16" s="502" t="s">
        <v>749</v>
      </c>
      <c r="B16" s="503" t="s">
        <v>326</v>
      </c>
      <c r="C16" s="528" t="s">
        <v>711</v>
      </c>
      <c r="E16" s="529"/>
      <c r="F16" s="523"/>
      <c r="G16" s="523"/>
      <c r="H16" s="523"/>
      <c r="I16" s="523"/>
      <c r="J16" s="523"/>
      <c r="K16" s="523"/>
      <c r="L16" s="523"/>
      <c r="M16" s="523"/>
      <c r="N16" s="523">
        <v>1</v>
      </c>
      <c r="O16" s="523">
        <v>1</v>
      </c>
      <c r="P16" s="524">
        <v>1</v>
      </c>
      <c r="Q16" s="523"/>
      <c r="R16" s="523">
        <v>1</v>
      </c>
      <c r="S16" s="523">
        <v>1</v>
      </c>
      <c r="T16" s="523">
        <v>1</v>
      </c>
      <c r="U16" s="523">
        <v>1</v>
      </c>
      <c r="V16" s="523"/>
      <c r="W16" s="523">
        <v>1</v>
      </c>
      <c r="X16" s="523"/>
      <c r="Y16" s="523">
        <v>1</v>
      </c>
      <c r="Z16" s="523"/>
      <c r="AA16" s="523"/>
      <c r="AB16" s="523">
        <v>1</v>
      </c>
      <c r="AC16" s="530">
        <f t="shared" si="14"/>
        <v>210</v>
      </c>
      <c r="AD16" s="531">
        <f t="shared" si="23"/>
        <v>210</v>
      </c>
      <c r="AE16" s="647"/>
      <c r="AF16" s="647">
        <v>3</v>
      </c>
      <c r="AG16" s="979">
        <f t="shared" si="24"/>
        <v>630</v>
      </c>
      <c r="AH16" s="648">
        <f>$BE$59</f>
        <v>780</v>
      </c>
      <c r="AI16" s="640">
        <f t="shared" si="25"/>
        <v>0</v>
      </c>
      <c r="AJ16" s="641">
        <f t="shared" si="15"/>
        <v>491400</v>
      </c>
      <c r="AK16" s="527">
        <f t="shared" si="16"/>
        <v>5.8547235747919667E-2</v>
      </c>
      <c r="AL16" s="530">
        <f t="shared" si="17"/>
        <v>63</v>
      </c>
      <c r="AM16" s="531">
        <f t="shared" si="26"/>
        <v>63</v>
      </c>
      <c r="AN16" s="647"/>
      <c r="AO16" s="647">
        <f t="shared" si="27"/>
        <v>3</v>
      </c>
      <c r="AP16" s="555">
        <f t="shared" si="18"/>
        <v>0</v>
      </c>
      <c r="AQ16" s="556">
        <f t="shared" si="19"/>
        <v>147420</v>
      </c>
      <c r="AS16" s="530">
        <f t="shared" si="20"/>
        <v>147</v>
      </c>
      <c r="AT16" s="531">
        <f t="shared" si="28"/>
        <v>147</v>
      </c>
      <c r="AU16" s="647"/>
      <c r="AV16" s="647">
        <f t="shared" si="29"/>
        <v>3</v>
      </c>
      <c r="AW16" s="555">
        <f t="shared" si="21"/>
        <v>0</v>
      </c>
      <c r="AX16" s="556">
        <f t="shared" si="22"/>
        <v>343980</v>
      </c>
      <c r="AY16" s="547"/>
    </row>
    <row r="17" spans="1:51" ht="13.2" x14ac:dyDescent="0.2">
      <c r="A17" s="502" t="s">
        <v>749</v>
      </c>
      <c r="B17" s="503" t="s">
        <v>327</v>
      </c>
      <c r="C17" s="528" t="s">
        <v>712</v>
      </c>
      <c r="E17" s="529"/>
      <c r="F17" s="523"/>
      <c r="G17" s="523"/>
      <c r="H17" s="523"/>
      <c r="I17" s="523"/>
      <c r="J17" s="523"/>
      <c r="K17" s="523"/>
      <c r="L17" s="523"/>
      <c r="M17" s="523"/>
      <c r="N17" s="523"/>
      <c r="O17" s="523"/>
      <c r="P17" s="524">
        <v>1</v>
      </c>
      <c r="Q17" s="523"/>
      <c r="R17" s="523"/>
      <c r="S17" s="523"/>
      <c r="T17" s="523"/>
      <c r="U17" s="523">
        <v>1</v>
      </c>
      <c r="V17" s="523"/>
      <c r="W17" s="523"/>
      <c r="X17" s="523"/>
      <c r="Y17" s="523">
        <v>1</v>
      </c>
      <c r="Z17" s="523"/>
      <c r="AA17" s="523"/>
      <c r="AB17" s="523">
        <v>1</v>
      </c>
      <c r="AC17" s="530">
        <f t="shared" si="14"/>
        <v>84</v>
      </c>
      <c r="AD17" s="531">
        <f t="shared" si="23"/>
        <v>84</v>
      </c>
      <c r="AE17" s="647"/>
      <c r="AF17" s="647">
        <v>0.12</v>
      </c>
      <c r="AG17" s="979">
        <f t="shared" si="24"/>
        <v>10.08</v>
      </c>
      <c r="AH17" s="648">
        <f>$BE$61</f>
        <v>948</v>
      </c>
      <c r="AI17" s="640">
        <f t="shared" si="25"/>
        <v>0</v>
      </c>
      <c r="AJ17" s="641">
        <f t="shared" si="15"/>
        <v>9555.84</v>
      </c>
      <c r="AK17" s="527">
        <f t="shared" si="16"/>
        <v>1.1385185536210841E-3</v>
      </c>
      <c r="AL17" s="530">
        <f t="shared" si="17"/>
        <v>21</v>
      </c>
      <c r="AM17" s="531">
        <f t="shared" si="26"/>
        <v>21</v>
      </c>
      <c r="AN17" s="647"/>
      <c r="AO17" s="647">
        <f t="shared" si="27"/>
        <v>0.12</v>
      </c>
      <c r="AP17" s="555">
        <f t="shared" si="18"/>
        <v>0</v>
      </c>
      <c r="AQ17" s="556">
        <f t="shared" si="19"/>
        <v>2388.96</v>
      </c>
      <c r="AS17" s="530">
        <f t="shared" si="20"/>
        <v>63</v>
      </c>
      <c r="AT17" s="531">
        <f t="shared" si="28"/>
        <v>63</v>
      </c>
      <c r="AU17" s="647"/>
      <c r="AV17" s="647">
        <f t="shared" si="29"/>
        <v>0.12</v>
      </c>
      <c r="AW17" s="555">
        <f t="shared" si="21"/>
        <v>0</v>
      </c>
      <c r="AX17" s="556">
        <f t="shared" si="22"/>
        <v>7166.8799999999992</v>
      </c>
      <c r="AY17" s="547"/>
    </row>
    <row r="18" spans="1:51" ht="13.2" x14ac:dyDescent="0.2">
      <c r="A18" s="502" t="s">
        <v>749</v>
      </c>
      <c r="C18" s="976" t="s">
        <v>719</v>
      </c>
      <c r="E18" s="529"/>
      <c r="F18" s="523"/>
      <c r="G18" s="523"/>
      <c r="H18" s="523"/>
      <c r="I18" s="523"/>
      <c r="J18" s="523"/>
      <c r="K18" s="523"/>
      <c r="L18" s="523"/>
      <c r="M18" s="523"/>
      <c r="N18" s="523"/>
      <c r="O18" s="523"/>
      <c r="P18" s="524"/>
      <c r="Q18" s="523"/>
      <c r="R18" s="523"/>
      <c r="S18" s="523"/>
      <c r="T18" s="523"/>
      <c r="U18" s="523"/>
      <c r="V18" s="523"/>
      <c r="W18" s="523"/>
      <c r="X18" s="523"/>
      <c r="Y18" s="523"/>
      <c r="Z18" s="523"/>
      <c r="AA18" s="523"/>
      <c r="AB18" s="523"/>
      <c r="AC18" s="530"/>
      <c r="AD18" s="531"/>
      <c r="AE18" s="644"/>
      <c r="AF18" s="647"/>
      <c r="AG18" s="979"/>
      <c r="AH18" s="648"/>
      <c r="AI18" s="640"/>
      <c r="AJ18" s="641"/>
      <c r="AK18" s="527"/>
      <c r="AL18" s="530"/>
      <c r="AM18" s="531"/>
      <c r="AN18" s="647"/>
      <c r="AO18" s="647"/>
      <c r="AP18" s="555"/>
      <c r="AQ18" s="556"/>
      <c r="AS18" s="530"/>
      <c r="AT18" s="531"/>
      <c r="AU18" s="647"/>
      <c r="AV18" s="647"/>
      <c r="AW18" s="555"/>
      <c r="AX18" s="556"/>
      <c r="AY18" s="547"/>
    </row>
    <row r="19" spans="1:51" ht="13.2" x14ac:dyDescent="0.2">
      <c r="A19" s="502" t="s">
        <v>749</v>
      </c>
      <c r="B19" s="503" t="s">
        <v>322</v>
      </c>
      <c r="C19" s="528" t="s">
        <v>707</v>
      </c>
      <c r="E19" s="529">
        <v>1</v>
      </c>
      <c r="F19" s="523">
        <v>1</v>
      </c>
      <c r="G19" s="523">
        <v>1</v>
      </c>
      <c r="H19" s="523">
        <v>1</v>
      </c>
      <c r="I19" s="523">
        <v>1</v>
      </c>
      <c r="J19" s="523">
        <v>1</v>
      </c>
      <c r="K19" s="523">
        <v>1</v>
      </c>
      <c r="L19" s="523">
        <v>1</v>
      </c>
      <c r="M19" s="523">
        <v>1</v>
      </c>
      <c r="N19" s="523">
        <v>1</v>
      </c>
      <c r="O19" s="523">
        <v>1</v>
      </c>
      <c r="P19" s="524">
        <v>1</v>
      </c>
      <c r="Q19" s="523">
        <v>1</v>
      </c>
      <c r="R19" s="523">
        <v>1</v>
      </c>
      <c r="S19" s="523">
        <v>1</v>
      </c>
      <c r="T19" s="523">
        <v>1</v>
      </c>
      <c r="U19" s="523">
        <v>1</v>
      </c>
      <c r="V19" s="523">
        <v>1</v>
      </c>
      <c r="W19" s="523">
        <v>1</v>
      </c>
      <c r="X19" s="523">
        <v>1</v>
      </c>
      <c r="Y19" s="523">
        <v>1</v>
      </c>
      <c r="Z19" s="523">
        <v>1</v>
      </c>
      <c r="AA19" s="523">
        <v>1</v>
      </c>
      <c r="AB19" s="523">
        <v>1</v>
      </c>
      <c r="AC19" s="530">
        <f t="shared" ref="AC19:AC24" si="30">COUNTA(E19:AB19)*21</f>
        <v>504</v>
      </c>
      <c r="AD19" s="531">
        <f>COUNTA(E19:AB19)*21</f>
        <v>504</v>
      </c>
      <c r="AE19" s="647"/>
      <c r="AF19" s="647">
        <v>0.32</v>
      </c>
      <c r="AG19" s="979">
        <f>AF19*AD19</f>
        <v>161.28</v>
      </c>
      <c r="AH19" s="648">
        <f>$BE$58</f>
        <v>888</v>
      </c>
      <c r="AI19" s="640">
        <f>AC19*AE19*AG19</f>
        <v>0</v>
      </c>
      <c r="AJ19" s="641">
        <f t="shared" ref="AJ19:AJ24" si="31">AD19*AF19*AH19</f>
        <v>143216.64000000001</v>
      </c>
      <c r="AK19" s="527">
        <f t="shared" ref="AK19:AK24" si="32">AJ19/$AJ$90</f>
        <v>1.7063366677055235E-2</v>
      </c>
      <c r="AL19" s="530">
        <f t="shared" ref="AL19:AL24" si="33">COUNTA(E19:P19)*21</f>
        <v>252</v>
      </c>
      <c r="AM19" s="531">
        <f>AL19</f>
        <v>252</v>
      </c>
      <c r="AN19" s="647"/>
      <c r="AO19" s="647">
        <f>AF19</f>
        <v>0.32</v>
      </c>
      <c r="AP19" s="555">
        <f t="shared" ref="AP19:AP24" si="34">AL19*AN19*AG19</f>
        <v>0</v>
      </c>
      <c r="AQ19" s="556">
        <f t="shared" ref="AQ19:AQ24" si="35">AM19*AO19*AH19</f>
        <v>71608.320000000007</v>
      </c>
      <c r="AS19" s="530">
        <f t="shared" ref="AS19:AS24" si="36">COUNTA(Q19:AB19)*21</f>
        <v>252</v>
      </c>
      <c r="AT19" s="531">
        <f>AS19</f>
        <v>252</v>
      </c>
      <c r="AU19" s="647"/>
      <c r="AV19" s="647">
        <f>AF19</f>
        <v>0.32</v>
      </c>
      <c r="AW19" s="555">
        <f t="shared" ref="AW19:AW24" si="37">AS19*AU19*AG19</f>
        <v>0</v>
      </c>
      <c r="AX19" s="556">
        <f t="shared" ref="AX19:AX24" si="38">AT19*AV19*AH19</f>
        <v>71608.320000000007</v>
      </c>
      <c r="AY19" s="547"/>
    </row>
    <row r="20" spans="1:51" ht="13.2" x14ac:dyDescent="0.2">
      <c r="A20" s="502" t="s">
        <v>749</v>
      </c>
      <c r="B20" s="503" t="s">
        <v>323</v>
      </c>
      <c r="C20" s="528" t="s">
        <v>708</v>
      </c>
      <c r="E20" s="529"/>
      <c r="F20" s="523"/>
      <c r="G20" s="523"/>
      <c r="H20" s="523"/>
      <c r="I20" s="523"/>
      <c r="J20" s="523"/>
      <c r="K20" s="523">
        <v>1</v>
      </c>
      <c r="L20" s="523">
        <v>1</v>
      </c>
      <c r="M20" s="523">
        <v>1</v>
      </c>
      <c r="N20" s="523">
        <v>1</v>
      </c>
      <c r="O20" s="523">
        <v>1</v>
      </c>
      <c r="P20" s="524">
        <v>1</v>
      </c>
      <c r="Q20" s="523">
        <v>1</v>
      </c>
      <c r="R20" s="523">
        <v>1</v>
      </c>
      <c r="S20" s="523">
        <v>1</v>
      </c>
      <c r="T20" s="523">
        <v>1</v>
      </c>
      <c r="U20" s="523">
        <v>1</v>
      </c>
      <c r="V20" s="523">
        <v>1</v>
      </c>
      <c r="W20" s="523">
        <v>1</v>
      </c>
      <c r="X20" s="523">
        <v>1</v>
      </c>
      <c r="Y20" s="523">
        <v>1</v>
      </c>
      <c r="Z20" s="523">
        <v>1</v>
      </c>
      <c r="AA20" s="523">
        <v>1</v>
      </c>
      <c r="AB20" s="523">
        <v>1</v>
      </c>
      <c r="AC20" s="530">
        <f t="shared" si="30"/>
        <v>378</v>
      </c>
      <c r="AD20" s="531">
        <f t="shared" ref="AD20:AD24" si="39">COUNTA(E20:AB20)*21</f>
        <v>378</v>
      </c>
      <c r="AE20" s="647"/>
      <c r="AF20" s="647">
        <v>1.25</v>
      </c>
      <c r="AG20" s="979">
        <f t="shared" ref="AG20:AG24" si="40">AF20*AD20</f>
        <v>472.5</v>
      </c>
      <c r="AH20" s="648">
        <f>$BE$59</f>
        <v>780</v>
      </c>
      <c r="AI20" s="640">
        <f t="shared" ref="AI20:AI24" si="41">AC20*AE20*AG20</f>
        <v>0</v>
      </c>
      <c r="AJ20" s="641">
        <f t="shared" si="31"/>
        <v>368550</v>
      </c>
      <c r="AK20" s="527">
        <f t="shared" si="32"/>
        <v>4.3910426810939755E-2</v>
      </c>
      <c r="AL20" s="530">
        <f t="shared" si="33"/>
        <v>126</v>
      </c>
      <c r="AM20" s="531">
        <f t="shared" ref="AM20:AM24" si="42">AL20</f>
        <v>126</v>
      </c>
      <c r="AN20" s="647"/>
      <c r="AO20" s="647">
        <f t="shared" ref="AO20:AO24" si="43">AF20</f>
        <v>1.25</v>
      </c>
      <c r="AP20" s="555">
        <f t="shared" si="34"/>
        <v>0</v>
      </c>
      <c r="AQ20" s="556">
        <f t="shared" si="35"/>
        <v>122850</v>
      </c>
      <c r="AS20" s="530">
        <f t="shared" si="36"/>
        <v>252</v>
      </c>
      <c r="AT20" s="531">
        <f t="shared" ref="AT20:AT24" si="44">AS20</f>
        <v>252</v>
      </c>
      <c r="AU20" s="647"/>
      <c r="AV20" s="647">
        <f t="shared" ref="AV20:AV24" si="45">AF20</f>
        <v>1.25</v>
      </c>
      <c r="AW20" s="555">
        <f t="shared" si="37"/>
        <v>0</v>
      </c>
      <c r="AX20" s="556">
        <f t="shared" si="38"/>
        <v>245700</v>
      </c>
      <c r="AY20" s="547"/>
    </row>
    <row r="21" spans="1:51" ht="13.2" x14ac:dyDescent="0.2">
      <c r="A21" s="502" t="s">
        <v>749</v>
      </c>
      <c r="B21" s="503" t="s">
        <v>324</v>
      </c>
      <c r="C21" s="528" t="s">
        <v>709</v>
      </c>
      <c r="E21" s="529"/>
      <c r="F21" s="523"/>
      <c r="G21" s="523"/>
      <c r="H21" s="523"/>
      <c r="I21" s="523"/>
      <c r="J21" s="523"/>
      <c r="K21" s="523"/>
      <c r="L21" s="523"/>
      <c r="M21" s="523">
        <v>1</v>
      </c>
      <c r="N21" s="523">
        <v>1</v>
      </c>
      <c r="O21" s="523">
        <v>1</v>
      </c>
      <c r="P21" s="524">
        <v>1</v>
      </c>
      <c r="Q21" s="523"/>
      <c r="R21" s="523">
        <v>1</v>
      </c>
      <c r="S21" s="523">
        <v>1</v>
      </c>
      <c r="T21" s="523">
        <v>1</v>
      </c>
      <c r="U21" s="523">
        <v>1</v>
      </c>
      <c r="V21" s="523"/>
      <c r="W21" s="523">
        <v>1</v>
      </c>
      <c r="X21" s="523">
        <v>1</v>
      </c>
      <c r="Y21" s="523">
        <v>1</v>
      </c>
      <c r="Z21" s="523">
        <v>1</v>
      </c>
      <c r="AA21" s="523">
        <v>1</v>
      </c>
      <c r="AB21" s="523">
        <v>1</v>
      </c>
      <c r="AC21" s="530">
        <f t="shared" si="30"/>
        <v>294</v>
      </c>
      <c r="AD21" s="531">
        <f t="shared" si="39"/>
        <v>294</v>
      </c>
      <c r="AE21" s="647"/>
      <c r="AF21" s="647">
        <v>0.32</v>
      </c>
      <c r="AG21" s="979">
        <f t="shared" si="40"/>
        <v>94.08</v>
      </c>
      <c r="AH21" s="648">
        <f>$BE$60</f>
        <v>684</v>
      </c>
      <c r="AI21" s="640">
        <f t="shared" si="41"/>
        <v>0</v>
      </c>
      <c r="AJ21" s="641">
        <f t="shared" si="31"/>
        <v>64350.720000000001</v>
      </c>
      <c r="AK21" s="527">
        <f t="shared" si="32"/>
        <v>7.6669857028660348E-3</v>
      </c>
      <c r="AL21" s="530">
        <f t="shared" si="33"/>
        <v>84</v>
      </c>
      <c r="AM21" s="531">
        <f t="shared" si="42"/>
        <v>84</v>
      </c>
      <c r="AN21" s="647"/>
      <c r="AO21" s="647">
        <f t="shared" si="43"/>
        <v>0.32</v>
      </c>
      <c r="AP21" s="555">
        <f t="shared" si="34"/>
        <v>0</v>
      </c>
      <c r="AQ21" s="556">
        <f t="shared" si="35"/>
        <v>18385.919999999998</v>
      </c>
      <c r="AS21" s="530">
        <f t="shared" si="36"/>
        <v>210</v>
      </c>
      <c r="AT21" s="531">
        <f t="shared" si="44"/>
        <v>210</v>
      </c>
      <c r="AU21" s="647"/>
      <c r="AV21" s="647">
        <f t="shared" si="45"/>
        <v>0.32</v>
      </c>
      <c r="AW21" s="555">
        <f t="shared" si="37"/>
        <v>0</v>
      </c>
      <c r="AX21" s="556">
        <f t="shared" si="38"/>
        <v>45964.800000000003</v>
      </c>
      <c r="AY21" s="547"/>
    </row>
    <row r="22" spans="1:51" ht="13.35" customHeight="1" x14ac:dyDescent="0.2">
      <c r="A22" s="502" t="s">
        <v>749</v>
      </c>
      <c r="B22" s="503" t="s">
        <v>325</v>
      </c>
      <c r="C22" s="528" t="s">
        <v>710</v>
      </c>
      <c r="E22" s="529"/>
      <c r="F22" s="523"/>
      <c r="G22" s="523"/>
      <c r="H22" s="523"/>
      <c r="I22" s="523"/>
      <c r="J22" s="523"/>
      <c r="K22" s="523"/>
      <c r="L22" s="523"/>
      <c r="M22" s="523"/>
      <c r="N22" s="523"/>
      <c r="O22" s="523"/>
      <c r="P22" s="524">
        <v>1</v>
      </c>
      <c r="Q22" s="523"/>
      <c r="R22" s="523"/>
      <c r="S22" s="523"/>
      <c r="T22" s="523"/>
      <c r="U22" s="523">
        <v>1</v>
      </c>
      <c r="V22" s="523"/>
      <c r="W22" s="523">
        <v>1</v>
      </c>
      <c r="X22" s="523"/>
      <c r="Y22" s="523">
        <v>1</v>
      </c>
      <c r="Z22" s="523"/>
      <c r="AA22" s="523">
        <v>1</v>
      </c>
      <c r="AB22" s="523">
        <v>1</v>
      </c>
      <c r="AC22" s="530">
        <f t="shared" si="30"/>
        <v>126</v>
      </c>
      <c r="AD22" s="531">
        <f t="shared" si="39"/>
        <v>126</v>
      </c>
      <c r="AE22" s="647"/>
      <c r="AF22" s="647">
        <v>0.02</v>
      </c>
      <c r="AG22" s="979">
        <f t="shared" si="40"/>
        <v>2.52</v>
      </c>
      <c r="AH22" s="648">
        <f>$BE$63</f>
        <v>684</v>
      </c>
      <c r="AI22" s="640">
        <f t="shared" si="41"/>
        <v>0</v>
      </c>
      <c r="AJ22" s="641">
        <f t="shared" si="31"/>
        <v>1723.68</v>
      </c>
      <c r="AK22" s="527">
        <f t="shared" si="32"/>
        <v>2.0536568846962592E-4</v>
      </c>
      <c r="AL22" s="530">
        <f t="shared" si="33"/>
        <v>21</v>
      </c>
      <c r="AM22" s="531">
        <f t="shared" si="42"/>
        <v>21</v>
      </c>
      <c r="AN22" s="647"/>
      <c r="AO22" s="647">
        <f t="shared" si="43"/>
        <v>0.02</v>
      </c>
      <c r="AP22" s="555">
        <f t="shared" si="34"/>
        <v>0</v>
      </c>
      <c r="AQ22" s="556">
        <f t="shared" si="35"/>
        <v>287.27999999999997</v>
      </c>
      <c r="AS22" s="530">
        <f t="shared" si="36"/>
        <v>105</v>
      </c>
      <c r="AT22" s="531">
        <f t="shared" si="44"/>
        <v>105</v>
      </c>
      <c r="AU22" s="647"/>
      <c r="AV22" s="647">
        <f t="shared" si="45"/>
        <v>0.02</v>
      </c>
      <c r="AW22" s="555">
        <f t="shared" si="37"/>
        <v>0</v>
      </c>
      <c r="AX22" s="556">
        <f t="shared" si="38"/>
        <v>1436.4</v>
      </c>
      <c r="AY22" s="547"/>
    </row>
    <row r="23" spans="1:51" ht="13.2" x14ac:dyDescent="0.2">
      <c r="A23" s="502" t="s">
        <v>749</v>
      </c>
      <c r="B23" s="503" t="s">
        <v>326</v>
      </c>
      <c r="C23" s="528" t="s">
        <v>711</v>
      </c>
      <c r="E23" s="529"/>
      <c r="F23" s="523"/>
      <c r="G23" s="523"/>
      <c r="H23" s="523"/>
      <c r="I23" s="523"/>
      <c r="J23" s="523"/>
      <c r="K23" s="523"/>
      <c r="L23" s="523"/>
      <c r="M23" s="523"/>
      <c r="N23" s="523">
        <v>1</v>
      </c>
      <c r="O23" s="523">
        <v>1</v>
      </c>
      <c r="P23" s="524">
        <v>1</v>
      </c>
      <c r="Q23" s="523"/>
      <c r="R23" s="523">
        <v>1</v>
      </c>
      <c r="S23" s="523">
        <v>1</v>
      </c>
      <c r="T23" s="523">
        <v>1</v>
      </c>
      <c r="U23" s="523">
        <v>1</v>
      </c>
      <c r="V23" s="523"/>
      <c r="W23" s="523">
        <v>1</v>
      </c>
      <c r="X23" s="523"/>
      <c r="Y23" s="523">
        <v>1</v>
      </c>
      <c r="Z23" s="523"/>
      <c r="AA23" s="523"/>
      <c r="AB23" s="523">
        <v>1</v>
      </c>
      <c r="AC23" s="530">
        <f t="shared" si="30"/>
        <v>210</v>
      </c>
      <c r="AD23" s="531">
        <f t="shared" si="39"/>
        <v>210</v>
      </c>
      <c r="AE23" s="647"/>
      <c r="AF23" s="647">
        <v>0.69000000000000006</v>
      </c>
      <c r="AG23" s="979">
        <f t="shared" si="40"/>
        <v>144.9</v>
      </c>
      <c r="AH23" s="648">
        <f>$BE$59</f>
        <v>780</v>
      </c>
      <c r="AI23" s="640">
        <f t="shared" si="41"/>
        <v>0</v>
      </c>
      <c r="AJ23" s="641">
        <f t="shared" si="31"/>
        <v>113022</v>
      </c>
      <c r="AK23" s="527">
        <f t="shared" si="32"/>
        <v>1.3465864222021524E-2</v>
      </c>
      <c r="AL23" s="530">
        <f t="shared" si="33"/>
        <v>63</v>
      </c>
      <c r="AM23" s="531">
        <f t="shared" si="42"/>
        <v>63</v>
      </c>
      <c r="AN23" s="647"/>
      <c r="AO23" s="647">
        <f t="shared" si="43"/>
        <v>0.69000000000000006</v>
      </c>
      <c r="AP23" s="555">
        <f t="shared" si="34"/>
        <v>0</v>
      </c>
      <c r="AQ23" s="556">
        <f t="shared" si="35"/>
        <v>33906.600000000006</v>
      </c>
      <c r="AS23" s="530">
        <f t="shared" si="36"/>
        <v>147</v>
      </c>
      <c r="AT23" s="531">
        <f t="shared" si="44"/>
        <v>147</v>
      </c>
      <c r="AU23" s="647"/>
      <c r="AV23" s="647">
        <f t="shared" si="45"/>
        <v>0.69000000000000006</v>
      </c>
      <c r="AW23" s="555">
        <f t="shared" si="37"/>
        <v>0</v>
      </c>
      <c r="AX23" s="556">
        <f t="shared" si="38"/>
        <v>79115.400000000009</v>
      </c>
      <c r="AY23" s="547"/>
    </row>
    <row r="24" spans="1:51" ht="13.2" x14ac:dyDescent="0.2">
      <c r="A24" s="502" t="s">
        <v>749</v>
      </c>
      <c r="B24" s="503" t="s">
        <v>327</v>
      </c>
      <c r="C24" s="528" t="s">
        <v>712</v>
      </c>
      <c r="E24" s="529"/>
      <c r="F24" s="523"/>
      <c r="G24" s="523"/>
      <c r="H24" s="523"/>
      <c r="I24" s="523"/>
      <c r="J24" s="523"/>
      <c r="K24" s="523"/>
      <c r="L24" s="523"/>
      <c r="M24" s="523"/>
      <c r="N24" s="523"/>
      <c r="O24" s="523"/>
      <c r="P24" s="524">
        <v>1</v>
      </c>
      <c r="Q24" s="523"/>
      <c r="R24" s="523"/>
      <c r="S24" s="523"/>
      <c r="T24" s="523"/>
      <c r="U24" s="523">
        <v>1</v>
      </c>
      <c r="V24" s="523"/>
      <c r="W24" s="523"/>
      <c r="X24" s="523"/>
      <c r="Y24" s="523">
        <v>1</v>
      </c>
      <c r="Z24" s="523"/>
      <c r="AA24" s="523"/>
      <c r="AB24" s="523">
        <v>1</v>
      </c>
      <c r="AC24" s="530">
        <f t="shared" si="30"/>
        <v>84</v>
      </c>
      <c r="AD24" s="531">
        <f t="shared" si="39"/>
        <v>84</v>
      </c>
      <c r="AE24" s="647"/>
      <c r="AF24" s="647">
        <v>0.03</v>
      </c>
      <c r="AG24" s="979">
        <f t="shared" si="40"/>
        <v>2.52</v>
      </c>
      <c r="AH24" s="648">
        <f>$BE$61</f>
        <v>948</v>
      </c>
      <c r="AI24" s="640">
        <f t="shared" si="41"/>
        <v>0</v>
      </c>
      <c r="AJ24" s="641">
        <f t="shared" si="31"/>
        <v>2388.96</v>
      </c>
      <c r="AK24" s="527">
        <f t="shared" si="32"/>
        <v>2.8462963840527103E-4</v>
      </c>
      <c r="AL24" s="530">
        <f t="shared" si="33"/>
        <v>21</v>
      </c>
      <c r="AM24" s="531">
        <f t="shared" si="42"/>
        <v>21</v>
      </c>
      <c r="AN24" s="647"/>
      <c r="AO24" s="647">
        <f t="shared" si="43"/>
        <v>0.03</v>
      </c>
      <c r="AP24" s="555">
        <f t="shared" si="34"/>
        <v>0</v>
      </c>
      <c r="AQ24" s="556">
        <f t="shared" si="35"/>
        <v>597.24</v>
      </c>
      <c r="AS24" s="530">
        <f t="shared" si="36"/>
        <v>63</v>
      </c>
      <c r="AT24" s="531">
        <f t="shared" si="44"/>
        <v>63</v>
      </c>
      <c r="AU24" s="647"/>
      <c r="AV24" s="647">
        <f t="shared" si="45"/>
        <v>0.03</v>
      </c>
      <c r="AW24" s="555">
        <f t="shared" si="37"/>
        <v>0</v>
      </c>
      <c r="AX24" s="556">
        <f t="shared" si="38"/>
        <v>1791.7199999999998</v>
      </c>
      <c r="AY24" s="547"/>
    </row>
    <row r="25" spans="1:51" ht="13.2" x14ac:dyDescent="0.2">
      <c r="A25" s="502" t="s">
        <v>749</v>
      </c>
      <c r="C25" s="976" t="s">
        <v>655</v>
      </c>
      <c r="E25" s="529"/>
      <c r="F25" s="523"/>
      <c r="G25" s="523"/>
      <c r="H25" s="523"/>
      <c r="I25" s="523"/>
      <c r="J25" s="523"/>
      <c r="K25" s="523"/>
      <c r="L25" s="523"/>
      <c r="M25" s="523"/>
      <c r="N25" s="523"/>
      <c r="O25" s="523"/>
      <c r="P25" s="524"/>
      <c r="Q25" s="523"/>
      <c r="R25" s="523"/>
      <c r="S25" s="523"/>
      <c r="T25" s="523"/>
      <c r="U25" s="523"/>
      <c r="V25" s="523"/>
      <c r="W25" s="523"/>
      <c r="X25" s="523"/>
      <c r="Y25" s="523"/>
      <c r="Z25" s="523"/>
      <c r="AA25" s="523"/>
      <c r="AB25" s="523"/>
      <c r="AC25" s="530"/>
      <c r="AD25" s="531"/>
      <c r="AE25" s="644"/>
      <c r="AF25" s="647"/>
      <c r="AG25" s="979"/>
      <c r="AH25" s="648"/>
      <c r="AI25" s="640"/>
      <c r="AJ25" s="641"/>
      <c r="AK25" s="527"/>
      <c r="AL25" s="530"/>
      <c r="AM25" s="531"/>
      <c r="AN25" s="647"/>
      <c r="AO25" s="647"/>
      <c r="AP25" s="555"/>
      <c r="AQ25" s="556"/>
      <c r="AS25" s="530"/>
      <c r="AT25" s="531"/>
      <c r="AU25" s="647"/>
      <c r="AV25" s="647"/>
      <c r="AW25" s="555"/>
      <c r="AX25" s="556"/>
      <c r="AY25" s="547"/>
    </row>
    <row r="26" spans="1:51" ht="13.2" x14ac:dyDescent="0.2">
      <c r="A26" s="502" t="s">
        <v>749</v>
      </c>
      <c r="B26" s="503" t="s">
        <v>322</v>
      </c>
      <c r="C26" s="528" t="s">
        <v>707</v>
      </c>
      <c r="E26" s="529">
        <v>1</v>
      </c>
      <c r="F26" s="523">
        <v>1</v>
      </c>
      <c r="G26" s="523">
        <v>1</v>
      </c>
      <c r="H26" s="523">
        <v>1</v>
      </c>
      <c r="I26" s="523">
        <v>1</v>
      </c>
      <c r="J26" s="523">
        <v>1</v>
      </c>
      <c r="K26" s="523">
        <v>1</v>
      </c>
      <c r="L26" s="523">
        <v>1</v>
      </c>
      <c r="M26" s="523">
        <v>1</v>
      </c>
      <c r="N26" s="523">
        <v>1</v>
      </c>
      <c r="O26" s="523">
        <v>1</v>
      </c>
      <c r="P26" s="524">
        <v>1</v>
      </c>
      <c r="Q26" s="523">
        <v>1</v>
      </c>
      <c r="R26" s="523">
        <v>1</v>
      </c>
      <c r="S26" s="523">
        <v>1</v>
      </c>
      <c r="T26" s="523">
        <v>1</v>
      </c>
      <c r="U26" s="523">
        <v>1</v>
      </c>
      <c r="V26" s="523">
        <v>1</v>
      </c>
      <c r="W26" s="523">
        <v>1</v>
      </c>
      <c r="X26" s="523">
        <v>1</v>
      </c>
      <c r="Y26" s="523">
        <v>1</v>
      </c>
      <c r="Z26" s="523">
        <v>1</v>
      </c>
      <c r="AA26" s="523">
        <v>1</v>
      </c>
      <c r="AB26" s="523">
        <v>1</v>
      </c>
      <c r="AC26" s="530">
        <f t="shared" ref="AC26:AC31" si="46">COUNTA(E26:AB26)*21</f>
        <v>504</v>
      </c>
      <c r="AD26" s="531">
        <f>COUNTA(E26:AB26)*21</f>
        <v>504</v>
      </c>
      <c r="AE26" s="647"/>
      <c r="AF26" s="647">
        <v>0.15000000000000002</v>
      </c>
      <c r="AG26" s="979">
        <f>AF26*AD26</f>
        <v>75.600000000000009</v>
      </c>
      <c r="AH26" s="648">
        <f>$BE$58</f>
        <v>888</v>
      </c>
      <c r="AI26" s="640">
        <f>AC26*AE26*AG26</f>
        <v>0</v>
      </c>
      <c r="AJ26" s="641">
        <f t="shared" ref="AJ26:AJ31" si="47">AD26*AF26*AH26</f>
        <v>67132.800000000003</v>
      </c>
      <c r="AK26" s="527">
        <f t="shared" ref="AK26:AK31" si="48">AJ26/$AJ$90</f>
        <v>7.9984531298696419E-3</v>
      </c>
      <c r="AL26" s="530">
        <f t="shared" ref="AL26:AL31" si="49">COUNTA(E26:P26)*21</f>
        <v>252</v>
      </c>
      <c r="AM26" s="531">
        <f>AL26</f>
        <v>252</v>
      </c>
      <c r="AN26" s="647"/>
      <c r="AO26" s="647">
        <f>AF26</f>
        <v>0.15000000000000002</v>
      </c>
      <c r="AP26" s="555">
        <f t="shared" ref="AP26:AP31" si="50">AL26*AN26*AG26</f>
        <v>0</v>
      </c>
      <c r="AQ26" s="556">
        <f t="shared" ref="AQ26:AQ31" si="51">AM26*AO26*AH26</f>
        <v>33566.400000000001</v>
      </c>
      <c r="AS26" s="530">
        <f t="shared" ref="AS26:AS31" si="52">COUNTA(Q26:AB26)*21</f>
        <v>252</v>
      </c>
      <c r="AT26" s="531">
        <f>AS26</f>
        <v>252</v>
      </c>
      <c r="AU26" s="647"/>
      <c r="AV26" s="647">
        <f>AF26</f>
        <v>0.15000000000000002</v>
      </c>
      <c r="AW26" s="555">
        <f t="shared" ref="AW26:AW31" si="53">AS26*AU26*AG26</f>
        <v>0</v>
      </c>
      <c r="AX26" s="556">
        <f t="shared" ref="AX26:AX31" si="54">AT26*AV26*AH26</f>
        <v>33566.400000000001</v>
      </c>
      <c r="AY26" s="547"/>
    </row>
    <row r="27" spans="1:51" ht="13.2" x14ac:dyDescent="0.2">
      <c r="A27" s="502" t="s">
        <v>749</v>
      </c>
      <c r="B27" s="503" t="s">
        <v>323</v>
      </c>
      <c r="C27" s="528" t="s">
        <v>708</v>
      </c>
      <c r="E27" s="529"/>
      <c r="F27" s="523"/>
      <c r="G27" s="523"/>
      <c r="H27" s="523"/>
      <c r="I27" s="523"/>
      <c r="J27" s="523"/>
      <c r="K27" s="523">
        <v>1</v>
      </c>
      <c r="L27" s="523">
        <v>1</v>
      </c>
      <c r="M27" s="523">
        <v>1</v>
      </c>
      <c r="N27" s="523">
        <v>1</v>
      </c>
      <c r="O27" s="523">
        <v>1</v>
      </c>
      <c r="P27" s="524">
        <v>1</v>
      </c>
      <c r="Q27" s="523">
        <v>1</v>
      </c>
      <c r="R27" s="523">
        <v>1</v>
      </c>
      <c r="S27" s="523">
        <v>1</v>
      </c>
      <c r="T27" s="523">
        <v>1</v>
      </c>
      <c r="U27" s="523">
        <v>1</v>
      </c>
      <c r="V27" s="523">
        <v>1</v>
      </c>
      <c r="W27" s="523">
        <v>1</v>
      </c>
      <c r="X27" s="523">
        <v>1</v>
      </c>
      <c r="Y27" s="523">
        <v>1</v>
      </c>
      <c r="Z27" s="523">
        <v>1</v>
      </c>
      <c r="AA27" s="523">
        <v>1</v>
      </c>
      <c r="AB27" s="523">
        <v>1</v>
      </c>
      <c r="AC27" s="530">
        <f t="shared" si="46"/>
        <v>378</v>
      </c>
      <c r="AD27" s="531">
        <f t="shared" ref="AD27:AD31" si="55">COUNTA(E27:AB27)*21</f>
        <v>378</v>
      </c>
      <c r="AE27" s="647"/>
      <c r="AF27" s="647">
        <v>0.57000000000000006</v>
      </c>
      <c r="AG27" s="979">
        <f t="shared" ref="AG27:AG31" si="56">AF27*AD27</f>
        <v>215.46000000000004</v>
      </c>
      <c r="AH27" s="648">
        <f>$BE$59</f>
        <v>780</v>
      </c>
      <c r="AI27" s="640">
        <f t="shared" ref="AI27:AI31" si="57">AC27*AE27*AG27</f>
        <v>0</v>
      </c>
      <c r="AJ27" s="641">
        <f t="shared" si="47"/>
        <v>168058.80000000002</v>
      </c>
      <c r="AK27" s="527">
        <f t="shared" si="48"/>
        <v>2.002315462578853E-2</v>
      </c>
      <c r="AL27" s="530">
        <f t="shared" si="49"/>
        <v>126</v>
      </c>
      <c r="AM27" s="531">
        <f t="shared" ref="AM27:AM31" si="58">AL27</f>
        <v>126</v>
      </c>
      <c r="AN27" s="647"/>
      <c r="AO27" s="647">
        <f t="shared" ref="AO27:AO31" si="59">AF27</f>
        <v>0.57000000000000006</v>
      </c>
      <c r="AP27" s="555">
        <f t="shared" si="50"/>
        <v>0</v>
      </c>
      <c r="AQ27" s="556">
        <f t="shared" si="51"/>
        <v>56019.600000000006</v>
      </c>
      <c r="AS27" s="530">
        <f t="shared" si="52"/>
        <v>252</v>
      </c>
      <c r="AT27" s="531">
        <f t="shared" ref="AT27:AT31" si="60">AS27</f>
        <v>252</v>
      </c>
      <c r="AU27" s="647"/>
      <c r="AV27" s="647">
        <f t="shared" ref="AV27:AV31" si="61">AF27</f>
        <v>0.57000000000000006</v>
      </c>
      <c r="AW27" s="555">
        <f t="shared" si="53"/>
        <v>0</v>
      </c>
      <c r="AX27" s="556">
        <f t="shared" si="54"/>
        <v>112039.20000000001</v>
      </c>
      <c r="AY27" s="547"/>
    </row>
    <row r="28" spans="1:51" ht="13.2" x14ac:dyDescent="0.2">
      <c r="A28" s="502" t="s">
        <v>749</v>
      </c>
      <c r="B28" s="503" t="s">
        <v>324</v>
      </c>
      <c r="C28" s="528" t="s">
        <v>709</v>
      </c>
      <c r="E28" s="529"/>
      <c r="F28" s="523"/>
      <c r="G28" s="523"/>
      <c r="H28" s="523"/>
      <c r="I28" s="523"/>
      <c r="J28" s="523"/>
      <c r="K28" s="523"/>
      <c r="L28" s="523"/>
      <c r="M28" s="523">
        <v>1</v>
      </c>
      <c r="N28" s="523">
        <v>1</v>
      </c>
      <c r="O28" s="523">
        <v>1</v>
      </c>
      <c r="P28" s="524">
        <v>1</v>
      </c>
      <c r="Q28" s="523"/>
      <c r="R28" s="523">
        <v>1</v>
      </c>
      <c r="S28" s="523">
        <v>1</v>
      </c>
      <c r="T28" s="523">
        <v>1</v>
      </c>
      <c r="U28" s="523">
        <v>1</v>
      </c>
      <c r="V28" s="523"/>
      <c r="W28" s="523">
        <v>1</v>
      </c>
      <c r="X28" s="523">
        <v>1</v>
      </c>
      <c r="Y28" s="523">
        <v>1</v>
      </c>
      <c r="Z28" s="523">
        <v>1</v>
      </c>
      <c r="AA28" s="523">
        <v>1</v>
      </c>
      <c r="AB28" s="523">
        <v>1</v>
      </c>
      <c r="AC28" s="530">
        <f t="shared" si="46"/>
        <v>294</v>
      </c>
      <c r="AD28" s="531">
        <f t="shared" si="55"/>
        <v>294</v>
      </c>
      <c r="AE28" s="647"/>
      <c r="AF28" s="647">
        <v>0.15000000000000002</v>
      </c>
      <c r="AG28" s="979">
        <f t="shared" si="56"/>
        <v>44.100000000000009</v>
      </c>
      <c r="AH28" s="648">
        <f>$BE$60</f>
        <v>684</v>
      </c>
      <c r="AI28" s="640">
        <f t="shared" si="57"/>
        <v>0</v>
      </c>
      <c r="AJ28" s="641">
        <f t="shared" si="47"/>
        <v>30164.400000000005</v>
      </c>
      <c r="AK28" s="527">
        <f t="shared" si="48"/>
        <v>3.5938995482184544E-3</v>
      </c>
      <c r="AL28" s="530">
        <f t="shared" si="49"/>
        <v>84</v>
      </c>
      <c r="AM28" s="531">
        <f t="shared" si="58"/>
        <v>84</v>
      </c>
      <c r="AN28" s="647"/>
      <c r="AO28" s="647">
        <f t="shared" si="59"/>
        <v>0.15000000000000002</v>
      </c>
      <c r="AP28" s="555">
        <f t="shared" si="50"/>
        <v>0</v>
      </c>
      <c r="AQ28" s="556">
        <f t="shared" si="51"/>
        <v>8618.4000000000015</v>
      </c>
      <c r="AS28" s="530">
        <f t="shared" si="52"/>
        <v>210</v>
      </c>
      <c r="AT28" s="531">
        <f t="shared" si="60"/>
        <v>210</v>
      </c>
      <c r="AU28" s="647"/>
      <c r="AV28" s="647">
        <f t="shared" si="61"/>
        <v>0.15000000000000002</v>
      </c>
      <c r="AW28" s="555">
        <f t="shared" si="53"/>
        <v>0</v>
      </c>
      <c r="AX28" s="556">
        <f t="shared" si="54"/>
        <v>21546.000000000004</v>
      </c>
      <c r="AY28" s="547"/>
    </row>
    <row r="29" spans="1:51" ht="13.35" customHeight="1" x14ac:dyDescent="0.2">
      <c r="A29" s="502" t="s">
        <v>749</v>
      </c>
      <c r="B29" s="503" t="s">
        <v>325</v>
      </c>
      <c r="C29" s="528" t="s">
        <v>710</v>
      </c>
      <c r="E29" s="529"/>
      <c r="F29" s="523"/>
      <c r="G29" s="523"/>
      <c r="H29" s="523"/>
      <c r="I29" s="523"/>
      <c r="J29" s="523"/>
      <c r="K29" s="523"/>
      <c r="L29" s="523"/>
      <c r="M29" s="523"/>
      <c r="N29" s="523"/>
      <c r="O29" s="523"/>
      <c r="P29" s="524">
        <v>1</v>
      </c>
      <c r="Q29" s="523"/>
      <c r="R29" s="523"/>
      <c r="S29" s="523"/>
      <c r="T29" s="523"/>
      <c r="U29" s="523">
        <v>1</v>
      </c>
      <c r="V29" s="523"/>
      <c r="W29" s="523">
        <v>1</v>
      </c>
      <c r="X29" s="523"/>
      <c r="Y29" s="523">
        <v>1</v>
      </c>
      <c r="Z29" s="523"/>
      <c r="AA29" s="523">
        <v>1</v>
      </c>
      <c r="AB29" s="523">
        <v>1</v>
      </c>
      <c r="AC29" s="530">
        <f t="shared" si="46"/>
        <v>126</v>
      </c>
      <c r="AD29" s="531">
        <f t="shared" si="55"/>
        <v>126</v>
      </c>
      <c r="AE29" s="647"/>
      <c r="AF29" s="647">
        <v>0.01</v>
      </c>
      <c r="AG29" s="979">
        <f t="shared" si="56"/>
        <v>1.26</v>
      </c>
      <c r="AH29" s="648">
        <f>$BE$63</f>
        <v>684</v>
      </c>
      <c r="AI29" s="640">
        <f t="shared" si="57"/>
        <v>0</v>
      </c>
      <c r="AJ29" s="641">
        <f t="shared" si="47"/>
        <v>861.84</v>
      </c>
      <c r="AK29" s="527">
        <f t="shared" si="48"/>
        <v>1.0268284423481296E-4</v>
      </c>
      <c r="AL29" s="530">
        <f t="shared" si="49"/>
        <v>21</v>
      </c>
      <c r="AM29" s="531">
        <f t="shared" si="58"/>
        <v>21</v>
      </c>
      <c r="AN29" s="647"/>
      <c r="AO29" s="647">
        <f t="shared" si="59"/>
        <v>0.01</v>
      </c>
      <c r="AP29" s="555">
        <f t="shared" si="50"/>
        <v>0</v>
      </c>
      <c r="AQ29" s="556">
        <f t="shared" si="51"/>
        <v>143.63999999999999</v>
      </c>
      <c r="AS29" s="530">
        <f t="shared" si="52"/>
        <v>105</v>
      </c>
      <c r="AT29" s="531">
        <f t="shared" si="60"/>
        <v>105</v>
      </c>
      <c r="AU29" s="647"/>
      <c r="AV29" s="647">
        <f t="shared" si="61"/>
        <v>0.01</v>
      </c>
      <c r="AW29" s="555">
        <f t="shared" si="53"/>
        <v>0</v>
      </c>
      <c r="AX29" s="556">
        <f t="shared" si="54"/>
        <v>718.2</v>
      </c>
      <c r="AY29" s="547"/>
    </row>
    <row r="30" spans="1:51" ht="13.2" x14ac:dyDescent="0.2">
      <c r="A30" s="502" t="s">
        <v>749</v>
      </c>
      <c r="B30" s="503" t="s">
        <v>326</v>
      </c>
      <c r="C30" s="528" t="s">
        <v>711</v>
      </c>
      <c r="E30" s="529"/>
      <c r="F30" s="523"/>
      <c r="G30" s="523"/>
      <c r="H30" s="523"/>
      <c r="I30" s="523"/>
      <c r="J30" s="523"/>
      <c r="K30" s="523"/>
      <c r="L30" s="523"/>
      <c r="M30" s="523"/>
      <c r="N30" s="523">
        <v>1</v>
      </c>
      <c r="O30" s="523">
        <v>1</v>
      </c>
      <c r="P30" s="524">
        <v>1</v>
      </c>
      <c r="Q30" s="523"/>
      <c r="R30" s="523">
        <v>1</v>
      </c>
      <c r="S30" s="523">
        <v>1</v>
      </c>
      <c r="T30" s="523">
        <v>1</v>
      </c>
      <c r="U30" s="523">
        <v>1</v>
      </c>
      <c r="V30" s="523"/>
      <c r="W30" s="523">
        <v>1</v>
      </c>
      <c r="X30" s="523"/>
      <c r="Y30" s="523">
        <v>1</v>
      </c>
      <c r="Z30" s="523"/>
      <c r="AA30" s="523"/>
      <c r="AB30" s="523">
        <v>1</v>
      </c>
      <c r="AC30" s="530">
        <f t="shared" si="46"/>
        <v>210</v>
      </c>
      <c r="AD30" s="531">
        <f t="shared" si="55"/>
        <v>210</v>
      </c>
      <c r="AE30" s="647"/>
      <c r="AF30" s="647">
        <v>0.31</v>
      </c>
      <c r="AG30" s="979">
        <f t="shared" si="56"/>
        <v>65.099999999999994</v>
      </c>
      <c r="AH30" s="648">
        <f>$BE$59</f>
        <v>780</v>
      </c>
      <c r="AI30" s="640">
        <f t="shared" si="57"/>
        <v>0</v>
      </c>
      <c r="AJ30" s="641">
        <f t="shared" si="47"/>
        <v>50777.999999999993</v>
      </c>
      <c r="AK30" s="527">
        <f t="shared" si="48"/>
        <v>6.0498810272850319E-3</v>
      </c>
      <c r="AL30" s="530">
        <f t="shared" si="49"/>
        <v>63</v>
      </c>
      <c r="AM30" s="531">
        <f t="shared" si="58"/>
        <v>63</v>
      </c>
      <c r="AN30" s="647"/>
      <c r="AO30" s="647">
        <f t="shared" si="59"/>
        <v>0.31</v>
      </c>
      <c r="AP30" s="555">
        <f t="shared" si="50"/>
        <v>0</v>
      </c>
      <c r="AQ30" s="556">
        <f t="shared" si="51"/>
        <v>15233.400000000001</v>
      </c>
      <c r="AS30" s="530">
        <f t="shared" si="52"/>
        <v>147</v>
      </c>
      <c r="AT30" s="531">
        <f t="shared" si="60"/>
        <v>147</v>
      </c>
      <c r="AU30" s="647"/>
      <c r="AV30" s="647">
        <f t="shared" si="61"/>
        <v>0.31</v>
      </c>
      <c r="AW30" s="555">
        <f t="shared" si="53"/>
        <v>0</v>
      </c>
      <c r="AX30" s="556">
        <f t="shared" si="54"/>
        <v>35544.6</v>
      </c>
      <c r="AY30" s="547"/>
    </row>
    <row r="31" spans="1:51" ht="13.2" x14ac:dyDescent="0.2">
      <c r="A31" s="502" t="s">
        <v>749</v>
      </c>
      <c r="B31" s="503" t="s">
        <v>327</v>
      </c>
      <c r="C31" s="528" t="s">
        <v>712</v>
      </c>
      <c r="E31" s="529"/>
      <c r="F31" s="523"/>
      <c r="G31" s="523"/>
      <c r="H31" s="523"/>
      <c r="I31" s="523"/>
      <c r="J31" s="523"/>
      <c r="K31" s="523"/>
      <c r="L31" s="523"/>
      <c r="M31" s="523"/>
      <c r="N31" s="523"/>
      <c r="O31" s="523"/>
      <c r="P31" s="524">
        <v>1</v>
      </c>
      <c r="Q31" s="523"/>
      <c r="R31" s="523"/>
      <c r="S31" s="523"/>
      <c r="T31" s="523"/>
      <c r="U31" s="523">
        <v>1</v>
      </c>
      <c r="V31" s="523"/>
      <c r="W31" s="523"/>
      <c r="X31" s="523"/>
      <c r="Y31" s="523">
        <v>1</v>
      </c>
      <c r="Z31" s="523"/>
      <c r="AA31" s="523"/>
      <c r="AB31" s="523">
        <v>1</v>
      </c>
      <c r="AC31" s="530">
        <f t="shared" si="46"/>
        <v>84</v>
      </c>
      <c r="AD31" s="531">
        <f t="shared" si="55"/>
        <v>84</v>
      </c>
      <c r="AE31" s="647"/>
      <c r="AF31" s="647">
        <v>0.02</v>
      </c>
      <c r="AG31" s="979">
        <f t="shared" si="56"/>
        <v>1.68</v>
      </c>
      <c r="AH31" s="648">
        <f>$BE$61</f>
        <v>948</v>
      </c>
      <c r="AI31" s="640">
        <f t="shared" si="57"/>
        <v>0</v>
      </c>
      <c r="AJ31" s="641">
        <f t="shared" si="47"/>
        <v>1592.6399999999999</v>
      </c>
      <c r="AK31" s="527">
        <f t="shared" si="48"/>
        <v>1.8975309227018067E-4</v>
      </c>
      <c r="AL31" s="530">
        <f t="shared" si="49"/>
        <v>21</v>
      </c>
      <c r="AM31" s="531">
        <f t="shared" si="58"/>
        <v>21</v>
      </c>
      <c r="AN31" s="647"/>
      <c r="AO31" s="647">
        <f t="shared" si="59"/>
        <v>0.02</v>
      </c>
      <c r="AP31" s="555">
        <f t="shared" si="50"/>
        <v>0</v>
      </c>
      <c r="AQ31" s="556">
        <f t="shared" si="51"/>
        <v>398.15999999999997</v>
      </c>
      <c r="AS31" s="530">
        <f t="shared" si="52"/>
        <v>63</v>
      </c>
      <c r="AT31" s="531">
        <f t="shared" si="60"/>
        <v>63</v>
      </c>
      <c r="AU31" s="647"/>
      <c r="AV31" s="647">
        <f t="shared" si="61"/>
        <v>0.02</v>
      </c>
      <c r="AW31" s="555">
        <f t="shared" si="53"/>
        <v>0</v>
      </c>
      <c r="AX31" s="556">
        <f t="shared" si="54"/>
        <v>1194.48</v>
      </c>
      <c r="AY31" s="547"/>
    </row>
    <row r="32" spans="1:51" ht="13.2" x14ac:dyDescent="0.2">
      <c r="A32" s="502" t="s">
        <v>749</v>
      </c>
      <c r="C32" s="976" t="s">
        <v>656</v>
      </c>
      <c r="E32" s="529"/>
      <c r="F32" s="523"/>
      <c r="G32" s="523"/>
      <c r="H32" s="523"/>
      <c r="I32" s="523"/>
      <c r="J32" s="523"/>
      <c r="K32" s="523"/>
      <c r="L32" s="523"/>
      <c r="M32" s="523"/>
      <c r="N32" s="523"/>
      <c r="O32" s="523"/>
      <c r="P32" s="524"/>
      <c r="Q32" s="523"/>
      <c r="R32" s="523"/>
      <c r="S32" s="523"/>
      <c r="T32" s="523"/>
      <c r="U32" s="523"/>
      <c r="V32" s="523"/>
      <c r="W32" s="523"/>
      <c r="X32" s="523"/>
      <c r="Y32" s="523"/>
      <c r="Z32" s="523"/>
      <c r="AA32" s="523"/>
      <c r="AB32" s="523"/>
      <c r="AC32" s="530"/>
      <c r="AD32" s="531"/>
      <c r="AE32" s="644"/>
      <c r="AF32" s="647"/>
      <c r="AG32" s="979"/>
      <c r="AH32" s="648"/>
      <c r="AI32" s="640"/>
      <c r="AJ32" s="641"/>
      <c r="AK32" s="527"/>
      <c r="AL32" s="530"/>
      <c r="AM32" s="531"/>
      <c r="AN32" s="647"/>
      <c r="AO32" s="647"/>
      <c r="AP32" s="555"/>
      <c r="AQ32" s="556"/>
      <c r="AS32" s="530"/>
      <c r="AT32" s="531"/>
      <c r="AU32" s="647"/>
      <c r="AV32" s="647"/>
      <c r="AW32" s="555"/>
      <c r="AX32" s="556"/>
      <c r="AY32" s="547"/>
    </row>
    <row r="33" spans="1:51" ht="13.2" x14ac:dyDescent="0.2">
      <c r="A33" s="502" t="s">
        <v>749</v>
      </c>
      <c r="B33" s="503" t="s">
        <v>322</v>
      </c>
      <c r="C33" s="528" t="s">
        <v>707</v>
      </c>
      <c r="E33" s="529">
        <v>1</v>
      </c>
      <c r="F33" s="523">
        <v>1</v>
      </c>
      <c r="G33" s="523">
        <v>1</v>
      </c>
      <c r="H33" s="523">
        <v>1</v>
      </c>
      <c r="I33" s="523">
        <v>1</v>
      </c>
      <c r="J33" s="523">
        <v>1</v>
      </c>
      <c r="K33" s="523">
        <v>1</v>
      </c>
      <c r="L33" s="523">
        <v>1</v>
      </c>
      <c r="M33" s="523">
        <v>1</v>
      </c>
      <c r="N33" s="523">
        <v>1</v>
      </c>
      <c r="O33" s="523">
        <v>1</v>
      </c>
      <c r="P33" s="524">
        <v>1</v>
      </c>
      <c r="Q33" s="523">
        <v>1</v>
      </c>
      <c r="R33" s="523">
        <v>1</v>
      </c>
      <c r="S33" s="523">
        <v>1</v>
      </c>
      <c r="T33" s="523">
        <v>1</v>
      </c>
      <c r="U33" s="523">
        <v>1</v>
      </c>
      <c r="V33" s="523">
        <v>1</v>
      </c>
      <c r="W33" s="523">
        <v>1</v>
      </c>
      <c r="X33" s="523">
        <v>1</v>
      </c>
      <c r="Y33" s="523">
        <v>1</v>
      </c>
      <c r="Z33" s="523">
        <v>1</v>
      </c>
      <c r="AA33" s="523">
        <v>1</v>
      </c>
      <c r="AB33" s="523">
        <v>1</v>
      </c>
      <c r="AC33" s="530">
        <f t="shared" ref="AC33:AC38" si="62">COUNTA(E33:AB33)*21</f>
        <v>504</v>
      </c>
      <c r="AD33" s="531">
        <f>COUNTA(E33:AB33)*21</f>
        <v>504</v>
      </c>
      <c r="AE33" s="647"/>
      <c r="AF33" s="647">
        <v>0.22</v>
      </c>
      <c r="AG33" s="979">
        <f>AF33*AD33</f>
        <v>110.88</v>
      </c>
      <c r="AH33" s="648">
        <f>$BE$58</f>
        <v>888</v>
      </c>
      <c r="AI33" s="640">
        <f>AC33*AE33*AG33</f>
        <v>0</v>
      </c>
      <c r="AJ33" s="641">
        <f t="shared" ref="AJ33:AJ38" si="63">AD33*AF33*AH33</f>
        <v>98461.440000000002</v>
      </c>
      <c r="AK33" s="527">
        <f t="shared" ref="AK33:AK38" si="64">AJ33/$AJ$90</f>
        <v>1.1731064590475473E-2</v>
      </c>
      <c r="AL33" s="530">
        <f t="shared" ref="AL33:AL38" si="65">COUNTA(E33:P33)*21</f>
        <v>252</v>
      </c>
      <c r="AM33" s="531">
        <f>AL33</f>
        <v>252</v>
      </c>
      <c r="AN33" s="647"/>
      <c r="AO33" s="647">
        <f>AF33</f>
        <v>0.22</v>
      </c>
      <c r="AP33" s="555">
        <f t="shared" ref="AP33:AP38" si="66">AL33*AN33*AG33</f>
        <v>0</v>
      </c>
      <c r="AQ33" s="556">
        <f t="shared" ref="AQ33:AQ38" si="67">AM33*AO33*AH33</f>
        <v>49230.720000000001</v>
      </c>
      <c r="AS33" s="530">
        <f t="shared" ref="AS33:AS38" si="68">COUNTA(Q33:AB33)*21</f>
        <v>252</v>
      </c>
      <c r="AT33" s="531">
        <f>AS33</f>
        <v>252</v>
      </c>
      <c r="AU33" s="647"/>
      <c r="AV33" s="647">
        <f>AF33</f>
        <v>0.22</v>
      </c>
      <c r="AW33" s="555">
        <f t="shared" ref="AW33:AW38" si="69">AS33*AU33*AG33</f>
        <v>0</v>
      </c>
      <c r="AX33" s="556">
        <f t="shared" ref="AX33:AX38" si="70">AT33*AV33*AH33</f>
        <v>49230.720000000001</v>
      </c>
      <c r="AY33" s="547"/>
    </row>
    <row r="34" spans="1:51" ht="13.2" x14ac:dyDescent="0.2">
      <c r="A34" s="502" t="s">
        <v>749</v>
      </c>
      <c r="B34" s="503" t="s">
        <v>323</v>
      </c>
      <c r="C34" s="528" t="s">
        <v>708</v>
      </c>
      <c r="E34" s="529"/>
      <c r="F34" s="523"/>
      <c r="G34" s="523"/>
      <c r="H34" s="523"/>
      <c r="I34" s="523"/>
      <c r="J34" s="523"/>
      <c r="K34" s="523">
        <v>1</v>
      </c>
      <c r="L34" s="523">
        <v>1</v>
      </c>
      <c r="M34" s="523">
        <v>1</v>
      </c>
      <c r="N34" s="523">
        <v>1</v>
      </c>
      <c r="O34" s="523">
        <v>1</v>
      </c>
      <c r="P34" s="524">
        <v>1</v>
      </c>
      <c r="Q34" s="523">
        <v>1</v>
      </c>
      <c r="R34" s="523">
        <v>1</v>
      </c>
      <c r="S34" s="523">
        <v>1</v>
      </c>
      <c r="T34" s="523">
        <v>1</v>
      </c>
      <c r="U34" s="523">
        <v>1</v>
      </c>
      <c r="V34" s="523">
        <v>1</v>
      </c>
      <c r="W34" s="523">
        <v>1</v>
      </c>
      <c r="X34" s="523">
        <v>1</v>
      </c>
      <c r="Y34" s="523">
        <v>1</v>
      </c>
      <c r="Z34" s="523">
        <v>1</v>
      </c>
      <c r="AA34" s="523">
        <v>1</v>
      </c>
      <c r="AB34" s="523">
        <v>1</v>
      </c>
      <c r="AC34" s="530">
        <f t="shared" si="62"/>
        <v>378</v>
      </c>
      <c r="AD34" s="531">
        <f t="shared" ref="AD34:AD38" si="71">COUNTA(E34:AB34)*21</f>
        <v>378</v>
      </c>
      <c r="AE34" s="647"/>
      <c r="AF34" s="647">
        <v>0.86</v>
      </c>
      <c r="AG34" s="979">
        <f t="shared" ref="AG34:AG38" si="72">AF34*AD34</f>
        <v>325.08</v>
      </c>
      <c r="AH34" s="648">
        <f>$BE$59</f>
        <v>780</v>
      </c>
      <c r="AI34" s="640">
        <f t="shared" ref="AI34:AI38" si="73">AC34*AE34*AG34</f>
        <v>0</v>
      </c>
      <c r="AJ34" s="641">
        <f t="shared" si="63"/>
        <v>253562.4</v>
      </c>
      <c r="AK34" s="527">
        <f t="shared" si="64"/>
        <v>3.0210373645926551E-2</v>
      </c>
      <c r="AL34" s="530">
        <f t="shared" si="65"/>
        <v>126</v>
      </c>
      <c r="AM34" s="531">
        <f t="shared" ref="AM34:AM38" si="74">AL34</f>
        <v>126</v>
      </c>
      <c r="AN34" s="647"/>
      <c r="AO34" s="647">
        <f t="shared" ref="AO34:AO38" si="75">AF34</f>
        <v>0.86</v>
      </c>
      <c r="AP34" s="555">
        <f t="shared" si="66"/>
        <v>0</v>
      </c>
      <c r="AQ34" s="556">
        <f t="shared" si="67"/>
        <v>84520.8</v>
      </c>
      <c r="AS34" s="530">
        <f t="shared" si="68"/>
        <v>252</v>
      </c>
      <c r="AT34" s="531">
        <f t="shared" ref="AT34:AT38" si="76">AS34</f>
        <v>252</v>
      </c>
      <c r="AU34" s="647"/>
      <c r="AV34" s="647">
        <f t="shared" ref="AV34:AV38" si="77">AF34</f>
        <v>0.86</v>
      </c>
      <c r="AW34" s="555">
        <f t="shared" si="69"/>
        <v>0</v>
      </c>
      <c r="AX34" s="556">
        <f t="shared" si="70"/>
        <v>169041.6</v>
      </c>
      <c r="AY34" s="547"/>
    </row>
    <row r="35" spans="1:51" ht="13.2" x14ac:dyDescent="0.2">
      <c r="A35" s="502" t="s">
        <v>749</v>
      </c>
      <c r="B35" s="503" t="s">
        <v>324</v>
      </c>
      <c r="C35" s="528" t="s">
        <v>709</v>
      </c>
      <c r="E35" s="529"/>
      <c r="F35" s="523"/>
      <c r="G35" s="523"/>
      <c r="H35" s="523"/>
      <c r="I35" s="523"/>
      <c r="J35" s="523"/>
      <c r="K35" s="523"/>
      <c r="L35" s="523"/>
      <c r="M35" s="523">
        <v>1</v>
      </c>
      <c r="N35" s="523">
        <v>1</v>
      </c>
      <c r="O35" s="523">
        <v>1</v>
      </c>
      <c r="P35" s="524">
        <v>1</v>
      </c>
      <c r="Q35" s="523"/>
      <c r="R35" s="523">
        <v>1</v>
      </c>
      <c r="S35" s="523">
        <v>1</v>
      </c>
      <c r="T35" s="523">
        <v>1</v>
      </c>
      <c r="U35" s="523">
        <v>1</v>
      </c>
      <c r="V35" s="523"/>
      <c r="W35" s="523">
        <v>1</v>
      </c>
      <c r="X35" s="523">
        <v>1</v>
      </c>
      <c r="Y35" s="523">
        <v>1</v>
      </c>
      <c r="Z35" s="523">
        <v>1</v>
      </c>
      <c r="AA35" s="523">
        <v>1</v>
      </c>
      <c r="AB35" s="523">
        <v>1</v>
      </c>
      <c r="AC35" s="530">
        <f t="shared" si="62"/>
        <v>294</v>
      </c>
      <c r="AD35" s="531">
        <f t="shared" si="71"/>
        <v>294</v>
      </c>
      <c r="AE35" s="647"/>
      <c r="AF35" s="647">
        <v>0.22</v>
      </c>
      <c r="AG35" s="979">
        <f t="shared" si="72"/>
        <v>64.680000000000007</v>
      </c>
      <c r="AH35" s="648">
        <f>$BE$60</f>
        <v>684</v>
      </c>
      <c r="AI35" s="640">
        <f t="shared" si="73"/>
        <v>0</v>
      </c>
      <c r="AJ35" s="641">
        <f t="shared" si="63"/>
        <v>44241.120000000003</v>
      </c>
      <c r="AK35" s="527">
        <f t="shared" si="64"/>
        <v>5.2710526707203985E-3</v>
      </c>
      <c r="AL35" s="530">
        <f t="shared" si="65"/>
        <v>84</v>
      </c>
      <c r="AM35" s="531">
        <f t="shared" si="74"/>
        <v>84</v>
      </c>
      <c r="AN35" s="647"/>
      <c r="AO35" s="647">
        <f t="shared" si="75"/>
        <v>0.22</v>
      </c>
      <c r="AP35" s="555">
        <f t="shared" si="66"/>
        <v>0</v>
      </c>
      <c r="AQ35" s="556">
        <f t="shared" si="67"/>
        <v>12640.32</v>
      </c>
      <c r="AS35" s="530">
        <f t="shared" si="68"/>
        <v>210</v>
      </c>
      <c r="AT35" s="531">
        <f t="shared" si="76"/>
        <v>210</v>
      </c>
      <c r="AU35" s="647"/>
      <c r="AV35" s="647">
        <f t="shared" si="77"/>
        <v>0.22</v>
      </c>
      <c r="AW35" s="555">
        <f t="shared" si="69"/>
        <v>0</v>
      </c>
      <c r="AX35" s="556">
        <f t="shared" si="70"/>
        <v>31600.800000000003</v>
      </c>
      <c r="AY35" s="547"/>
    </row>
    <row r="36" spans="1:51" ht="13.35" customHeight="1" x14ac:dyDescent="0.2">
      <c r="A36" s="502" t="s">
        <v>749</v>
      </c>
      <c r="B36" s="503" t="s">
        <v>325</v>
      </c>
      <c r="C36" s="528" t="s">
        <v>710</v>
      </c>
      <c r="E36" s="529"/>
      <c r="F36" s="523"/>
      <c r="G36" s="523"/>
      <c r="H36" s="523"/>
      <c r="I36" s="523"/>
      <c r="J36" s="523"/>
      <c r="K36" s="523"/>
      <c r="L36" s="523"/>
      <c r="M36" s="523"/>
      <c r="N36" s="523"/>
      <c r="O36" s="523"/>
      <c r="P36" s="524">
        <v>1</v>
      </c>
      <c r="Q36" s="523"/>
      <c r="R36" s="523"/>
      <c r="S36" s="523"/>
      <c r="T36" s="523"/>
      <c r="U36" s="523">
        <v>1</v>
      </c>
      <c r="V36" s="523"/>
      <c r="W36" s="523">
        <v>1</v>
      </c>
      <c r="X36" s="523"/>
      <c r="Y36" s="523">
        <v>1</v>
      </c>
      <c r="Z36" s="523"/>
      <c r="AA36" s="523">
        <v>1</v>
      </c>
      <c r="AB36" s="523">
        <v>1</v>
      </c>
      <c r="AC36" s="530">
        <f t="shared" si="62"/>
        <v>126</v>
      </c>
      <c r="AD36" s="531">
        <f t="shared" si="71"/>
        <v>126</v>
      </c>
      <c r="AE36" s="647"/>
      <c r="AF36" s="647">
        <v>0.01</v>
      </c>
      <c r="AG36" s="979">
        <f t="shared" si="72"/>
        <v>1.26</v>
      </c>
      <c r="AH36" s="648">
        <f>$BE$63</f>
        <v>684</v>
      </c>
      <c r="AI36" s="640">
        <f t="shared" si="73"/>
        <v>0</v>
      </c>
      <c r="AJ36" s="641">
        <f t="shared" si="63"/>
        <v>861.84</v>
      </c>
      <c r="AK36" s="527">
        <f t="shared" si="64"/>
        <v>1.0268284423481296E-4</v>
      </c>
      <c r="AL36" s="530">
        <f t="shared" si="65"/>
        <v>21</v>
      </c>
      <c r="AM36" s="531">
        <f t="shared" si="74"/>
        <v>21</v>
      </c>
      <c r="AN36" s="647"/>
      <c r="AO36" s="647">
        <f t="shared" si="75"/>
        <v>0.01</v>
      </c>
      <c r="AP36" s="555">
        <f t="shared" si="66"/>
        <v>0</v>
      </c>
      <c r="AQ36" s="556">
        <f t="shared" si="67"/>
        <v>143.63999999999999</v>
      </c>
      <c r="AS36" s="530">
        <f t="shared" si="68"/>
        <v>105</v>
      </c>
      <c r="AT36" s="531">
        <f t="shared" si="76"/>
        <v>105</v>
      </c>
      <c r="AU36" s="647"/>
      <c r="AV36" s="647">
        <f t="shared" si="77"/>
        <v>0.01</v>
      </c>
      <c r="AW36" s="555">
        <f t="shared" si="69"/>
        <v>0</v>
      </c>
      <c r="AX36" s="556">
        <f t="shared" si="70"/>
        <v>718.2</v>
      </c>
      <c r="AY36" s="547"/>
    </row>
    <row r="37" spans="1:51" ht="13.2" x14ac:dyDescent="0.2">
      <c r="A37" s="502" t="s">
        <v>749</v>
      </c>
      <c r="B37" s="503" t="s">
        <v>326</v>
      </c>
      <c r="C37" s="528" t="s">
        <v>711</v>
      </c>
      <c r="E37" s="529"/>
      <c r="F37" s="523"/>
      <c r="G37" s="523"/>
      <c r="H37" s="523"/>
      <c r="I37" s="523"/>
      <c r="J37" s="523"/>
      <c r="K37" s="523"/>
      <c r="L37" s="523"/>
      <c r="M37" s="523"/>
      <c r="N37" s="523">
        <v>1</v>
      </c>
      <c r="O37" s="523">
        <v>1</v>
      </c>
      <c r="P37" s="524">
        <v>1</v>
      </c>
      <c r="Q37" s="523"/>
      <c r="R37" s="523">
        <v>1</v>
      </c>
      <c r="S37" s="523">
        <v>1</v>
      </c>
      <c r="T37" s="523">
        <v>1</v>
      </c>
      <c r="U37" s="523">
        <v>1</v>
      </c>
      <c r="V37" s="523"/>
      <c r="W37" s="523">
        <v>1</v>
      </c>
      <c r="X37" s="523"/>
      <c r="Y37" s="523">
        <v>1</v>
      </c>
      <c r="Z37" s="523"/>
      <c r="AA37" s="523"/>
      <c r="AB37" s="523">
        <v>1</v>
      </c>
      <c r="AC37" s="530">
        <f t="shared" si="62"/>
        <v>210</v>
      </c>
      <c r="AD37" s="531">
        <f t="shared" si="71"/>
        <v>210</v>
      </c>
      <c r="AE37" s="647"/>
      <c r="AF37" s="647">
        <v>0.47000000000000003</v>
      </c>
      <c r="AG37" s="979">
        <f t="shared" si="72"/>
        <v>98.7</v>
      </c>
      <c r="AH37" s="648">
        <f>$BE$59</f>
        <v>780</v>
      </c>
      <c r="AI37" s="640">
        <f t="shared" si="73"/>
        <v>0</v>
      </c>
      <c r="AJ37" s="641">
        <f t="shared" si="63"/>
        <v>76986</v>
      </c>
      <c r="AK37" s="527">
        <f t="shared" si="64"/>
        <v>9.1724002671740822E-3</v>
      </c>
      <c r="AL37" s="530">
        <f t="shared" si="65"/>
        <v>63</v>
      </c>
      <c r="AM37" s="531">
        <f t="shared" si="74"/>
        <v>63</v>
      </c>
      <c r="AN37" s="647"/>
      <c r="AO37" s="647">
        <f t="shared" si="75"/>
        <v>0.47000000000000003</v>
      </c>
      <c r="AP37" s="555">
        <f t="shared" si="66"/>
        <v>0</v>
      </c>
      <c r="AQ37" s="556">
        <f t="shared" si="67"/>
        <v>23095.800000000003</v>
      </c>
      <c r="AS37" s="530">
        <f t="shared" si="68"/>
        <v>147</v>
      </c>
      <c r="AT37" s="531">
        <f t="shared" si="76"/>
        <v>147</v>
      </c>
      <c r="AU37" s="647"/>
      <c r="AV37" s="647">
        <f t="shared" si="77"/>
        <v>0.47000000000000003</v>
      </c>
      <c r="AW37" s="555">
        <f t="shared" si="69"/>
        <v>0</v>
      </c>
      <c r="AX37" s="556">
        <f t="shared" si="70"/>
        <v>53890.200000000004</v>
      </c>
      <c r="AY37" s="547"/>
    </row>
    <row r="38" spans="1:51" ht="13.2" x14ac:dyDescent="0.2">
      <c r="A38" s="502" t="s">
        <v>749</v>
      </c>
      <c r="B38" s="503" t="s">
        <v>327</v>
      </c>
      <c r="C38" s="528" t="s">
        <v>712</v>
      </c>
      <c r="E38" s="529"/>
      <c r="F38" s="523"/>
      <c r="G38" s="523"/>
      <c r="H38" s="523"/>
      <c r="I38" s="523"/>
      <c r="J38" s="523"/>
      <c r="K38" s="523"/>
      <c r="L38" s="523"/>
      <c r="M38" s="523"/>
      <c r="N38" s="523"/>
      <c r="O38" s="523"/>
      <c r="P38" s="524">
        <v>1</v>
      </c>
      <c r="Q38" s="523"/>
      <c r="R38" s="523"/>
      <c r="S38" s="523"/>
      <c r="T38" s="523"/>
      <c r="U38" s="523">
        <v>1</v>
      </c>
      <c r="V38" s="523"/>
      <c r="W38" s="523"/>
      <c r="X38" s="523"/>
      <c r="Y38" s="523">
        <v>1</v>
      </c>
      <c r="Z38" s="523"/>
      <c r="AA38" s="523"/>
      <c r="AB38" s="523">
        <v>1</v>
      </c>
      <c r="AC38" s="530">
        <f t="shared" si="62"/>
        <v>84</v>
      </c>
      <c r="AD38" s="531">
        <f t="shared" si="71"/>
        <v>84</v>
      </c>
      <c r="AE38" s="647"/>
      <c r="AF38" s="647">
        <v>0.02</v>
      </c>
      <c r="AG38" s="979">
        <f t="shared" si="72"/>
        <v>1.68</v>
      </c>
      <c r="AH38" s="648">
        <f>$BE$61</f>
        <v>948</v>
      </c>
      <c r="AI38" s="640">
        <f t="shared" si="73"/>
        <v>0</v>
      </c>
      <c r="AJ38" s="641">
        <f t="shared" si="63"/>
        <v>1592.6399999999999</v>
      </c>
      <c r="AK38" s="527">
        <f t="shared" si="64"/>
        <v>1.8975309227018067E-4</v>
      </c>
      <c r="AL38" s="530">
        <f t="shared" si="65"/>
        <v>21</v>
      </c>
      <c r="AM38" s="531">
        <f t="shared" si="74"/>
        <v>21</v>
      </c>
      <c r="AN38" s="647"/>
      <c r="AO38" s="647">
        <f t="shared" si="75"/>
        <v>0.02</v>
      </c>
      <c r="AP38" s="555">
        <f t="shared" si="66"/>
        <v>0</v>
      </c>
      <c r="AQ38" s="556">
        <f t="shared" si="67"/>
        <v>398.15999999999997</v>
      </c>
      <c r="AS38" s="530">
        <f t="shared" si="68"/>
        <v>63</v>
      </c>
      <c r="AT38" s="531">
        <f t="shared" si="76"/>
        <v>63</v>
      </c>
      <c r="AU38" s="647"/>
      <c r="AV38" s="647">
        <f t="shared" si="77"/>
        <v>0.02</v>
      </c>
      <c r="AW38" s="555">
        <f t="shared" si="69"/>
        <v>0</v>
      </c>
      <c r="AX38" s="556">
        <f t="shared" si="70"/>
        <v>1194.48</v>
      </c>
      <c r="AY38" s="547"/>
    </row>
    <row r="39" spans="1:51" ht="13.2" x14ac:dyDescent="0.2">
      <c r="A39" s="502" t="s">
        <v>749</v>
      </c>
      <c r="C39" s="976" t="s">
        <v>657</v>
      </c>
      <c r="E39" s="539"/>
      <c r="F39" s="540"/>
      <c r="G39" s="540"/>
      <c r="H39" s="540"/>
      <c r="I39" s="540"/>
      <c r="J39" s="540"/>
      <c r="K39" s="540"/>
      <c r="L39" s="540"/>
      <c r="M39" s="540"/>
      <c r="N39" s="540"/>
      <c r="O39" s="540"/>
      <c r="P39" s="541"/>
      <c r="Q39" s="523"/>
      <c r="R39" s="523"/>
      <c r="S39" s="523"/>
      <c r="T39" s="523"/>
      <c r="U39" s="523"/>
      <c r="V39" s="523"/>
      <c r="W39" s="523"/>
      <c r="X39" s="523"/>
      <c r="Y39" s="523"/>
      <c r="Z39" s="523"/>
      <c r="AA39" s="523"/>
      <c r="AB39" s="524"/>
      <c r="AC39" s="525"/>
      <c r="AD39" s="526"/>
      <c r="AE39" s="526"/>
      <c r="AF39" s="526"/>
      <c r="AG39" s="526"/>
      <c r="AH39" s="554"/>
      <c r="AI39" s="555"/>
      <c r="AJ39" s="556"/>
      <c r="AK39" s="527"/>
      <c r="AL39" s="525"/>
      <c r="AM39" s="526"/>
      <c r="AN39" s="526"/>
      <c r="AO39" s="526"/>
      <c r="AP39" s="555"/>
      <c r="AQ39" s="556"/>
      <c r="AS39" s="525"/>
      <c r="AT39" s="526"/>
      <c r="AU39" s="526"/>
      <c r="AV39" s="526"/>
      <c r="AW39" s="555"/>
      <c r="AX39" s="556"/>
    </row>
    <row r="40" spans="1:51" ht="13.2" x14ac:dyDescent="0.2">
      <c r="A40" s="502" t="s">
        <v>749</v>
      </c>
      <c r="B40" s="503" t="s">
        <v>322</v>
      </c>
      <c r="C40" s="528" t="s">
        <v>713</v>
      </c>
      <c r="E40" s="529">
        <v>1</v>
      </c>
      <c r="F40" s="523">
        <v>1</v>
      </c>
      <c r="G40" s="523">
        <v>1</v>
      </c>
      <c r="H40" s="523">
        <v>1</v>
      </c>
      <c r="I40" s="523">
        <v>1</v>
      </c>
      <c r="J40" s="523">
        <v>1</v>
      </c>
      <c r="K40" s="523">
        <v>1</v>
      </c>
      <c r="L40" s="523">
        <v>1</v>
      </c>
      <c r="M40" s="523">
        <v>1</v>
      </c>
      <c r="N40" s="523">
        <v>1</v>
      </c>
      <c r="O40" s="523">
        <v>1</v>
      </c>
      <c r="P40" s="524">
        <v>1</v>
      </c>
      <c r="Q40" s="523">
        <v>1</v>
      </c>
      <c r="R40" s="523">
        <v>1</v>
      </c>
      <c r="S40" s="523">
        <v>1</v>
      </c>
      <c r="T40" s="523">
        <v>1</v>
      </c>
      <c r="U40" s="523">
        <v>1</v>
      </c>
      <c r="V40" s="523">
        <v>1</v>
      </c>
      <c r="W40" s="523">
        <v>1</v>
      </c>
      <c r="X40" s="523">
        <v>1</v>
      </c>
      <c r="Y40" s="523">
        <v>1</v>
      </c>
      <c r="Z40" s="523">
        <v>1</v>
      </c>
      <c r="AA40" s="523">
        <v>1</v>
      </c>
      <c r="AB40" s="523">
        <v>1</v>
      </c>
      <c r="AC40" s="530">
        <f t="shared" ref="AC40:AC45" si="78">COUNTA(E40:AB40)*21</f>
        <v>504</v>
      </c>
      <c r="AD40" s="531">
        <f>COUNTA(E40:AB40)*21</f>
        <v>504</v>
      </c>
      <c r="AE40" s="647"/>
      <c r="AF40" s="647">
        <v>0.33</v>
      </c>
      <c r="AG40" s="979">
        <f>AF40*AD40</f>
        <v>166.32000000000002</v>
      </c>
      <c r="AH40" s="648">
        <f>$BE$58</f>
        <v>888</v>
      </c>
      <c r="AI40" s="640">
        <f>AC40*AE40*AG40</f>
        <v>0</v>
      </c>
      <c r="AJ40" s="641">
        <f t="shared" ref="AJ40:AJ45" si="79">AD40*AF40*AH40</f>
        <v>147692.16000000003</v>
      </c>
      <c r="AK40" s="527">
        <f t="shared" ref="AK40:AK45" si="80">AJ40/$AJ$90</f>
        <v>1.7596596885713214E-2</v>
      </c>
      <c r="AL40" s="530">
        <f t="shared" ref="AL40:AL45" si="81">COUNTA(E40:P40)*21</f>
        <v>252</v>
      </c>
      <c r="AM40" s="531">
        <f>AL40</f>
        <v>252</v>
      </c>
      <c r="AN40" s="647"/>
      <c r="AO40" s="647">
        <f>AF40</f>
        <v>0.33</v>
      </c>
      <c r="AP40" s="555">
        <f t="shared" ref="AP40:AP45" si="82">AL40*AN40*AG40</f>
        <v>0</v>
      </c>
      <c r="AQ40" s="556">
        <f t="shared" ref="AQ40:AQ45" si="83">AM40*AO40*AH40</f>
        <v>73846.080000000016</v>
      </c>
      <c r="AS40" s="530">
        <f t="shared" ref="AS40:AS45" si="84">COUNTA(Q40:AB40)*21</f>
        <v>252</v>
      </c>
      <c r="AT40" s="531">
        <f>AS40</f>
        <v>252</v>
      </c>
      <c r="AU40" s="647"/>
      <c r="AV40" s="647">
        <f>AF40</f>
        <v>0.33</v>
      </c>
      <c r="AW40" s="555">
        <f t="shared" ref="AW40:AW45" si="85">AS40*AU40*AG40</f>
        <v>0</v>
      </c>
      <c r="AX40" s="556">
        <f t="shared" ref="AX40:AX45" si="86">AT40*AV40*AH40</f>
        <v>73846.080000000016</v>
      </c>
      <c r="AY40" s="547"/>
    </row>
    <row r="41" spans="1:51" ht="13.2" x14ac:dyDescent="0.2">
      <c r="A41" s="502" t="s">
        <v>749</v>
      </c>
      <c r="B41" s="503" t="s">
        <v>323</v>
      </c>
      <c r="C41" s="528" t="s">
        <v>714</v>
      </c>
      <c r="E41" s="529"/>
      <c r="F41" s="523"/>
      <c r="G41" s="523"/>
      <c r="H41" s="523"/>
      <c r="I41" s="523"/>
      <c r="J41" s="523"/>
      <c r="K41" s="523">
        <v>1</v>
      </c>
      <c r="L41" s="523">
        <v>1</v>
      </c>
      <c r="M41" s="523">
        <v>1</v>
      </c>
      <c r="N41" s="523">
        <v>1</v>
      </c>
      <c r="O41" s="523">
        <v>1</v>
      </c>
      <c r="P41" s="524">
        <v>1</v>
      </c>
      <c r="Q41" s="523">
        <v>1</v>
      </c>
      <c r="R41" s="523">
        <v>1</v>
      </c>
      <c r="S41" s="523">
        <v>1</v>
      </c>
      <c r="T41" s="523">
        <v>1</v>
      </c>
      <c r="U41" s="523">
        <v>1</v>
      </c>
      <c r="V41" s="523">
        <v>1</v>
      </c>
      <c r="W41" s="523">
        <v>1</v>
      </c>
      <c r="X41" s="523">
        <v>1</v>
      </c>
      <c r="Y41" s="523">
        <v>1</v>
      </c>
      <c r="Z41" s="523">
        <v>1</v>
      </c>
      <c r="AA41" s="523">
        <v>1</v>
      </c>
      <c r="AB41" s="523">
        <v>1</v>
      </c>
      <c r="AC41" s="530">
        <f t="shared" si="78"/>
        <v>378</v>
      </c>
      <c r="AD41" s="531">
        <f t="shared" ref="AD41:AD45" si="87">COUNTA(E41:AB41)*21</f>
        <v>378</v>
      </c>
      <c r="AE41" s="647"/>
      <c r="AF41" s="647">
        <v>1.3</v>
      </c>
      <c r="AG41" s="979">
        <f t="shared" ref="AG41:AG45" si="88">AF41*AD41</f>
        <v>491.40000000000003</v>
      </c>
      <c r="AH41" s="648">
        <f>$BE$59</f>
        <v>780</v>
      </c>
      <c r="AI41" s="640">
        <f t="shared" ref="AI41:AI45" si="89">AC41*AE41*AG41</f>
        <v>0</v>
      </c>
      <c r="AJ41" s="641">
        <f t="shared" si="79"/>
        <v>383292</v>
      </c>
      <c r="AK41" s="527">
        <f t="shared" si="80"/>
        <v>4.5666843883377342E-2</v>
      </c>
      <c r="AL41" s="530">
        <f t="shared" si="81"/>
        <v>126</v>
      </c>
      <c r="AM41" s="531">
        <f t="shared" ref="AM41:AM45" si="90">AL41</f>
        <v>126</v>
      </c>
      <c r="AN41" s="647"/>
      <c r="AO41" s="647">
        <f t="shared" ref="AO41:AO45" si="91">AF41</f>
        <v>1.3</v>
      </c>
      <c r="AP41" s="555">
        <f t="shared" si="82"/>
        <v>0</v>
      </c>
      <c r="AQ41" s="556">
        <f t="shared" si="83"/>
        <v>127764.00000000001</v>
      </c>
      <c r="AS41" s="530">
        <f t="shared" si="84"/>
        <v>252</v>
      </c>
      <c r="AT41" s="531">
        <f t="shared" ref="AT41:AT45" si="92">AS41</f>
        <v>252</v>
      </c>
      <c r="AU41" s="647"/>
      <c r="AV41" s="647">
        <f t="shared" ref="AV41:AV45" si="93">AF41</f>
        <v>1.3</v>
      </c>
      <c r="AW41" s="555">
        <f t="shared" si="85"/>
        <v>0</v>
      </c>
      <c r="AX41" s="556">
        <f t="shared" si="86"/>
        <v>255528.00000000003</v>
      </c>
      <c r="AY41" s="547"/>
    </row>
    <row r="42" spans="1:51" ht="13.2" x14ac:dyDescent="0.2">
      <c r="A42" s="502" t="s">
        <v>749</v>
      </c>
      <c r="B42" s="503" t="s">
        <v>324</v>
      </c>
      <c r="C42" s="528" t="s">
        <v>715</v>
      </c>
      <c r="E42" s="529"/>
      <c r="F42" s="523"/>
      <c r="G42" s="523"/>
      <c r="H42" s="523"/>
      <c r="I42" s="523"/>
      <c r="J42" s="523"/>
      <c r="K42" s="523"/>
      <c r="L42" s="523"/>
      <c r="M42" s="523">
        <v>1</v>
      </c>
      <c r="N42" s="523">
        <v>1</v>
      </c>
      <c r="O42" s="523">
        <v>1</v>
      </c>
      <c r="P42" s="524">
        <v>1</v>
      </c>
      <c r="Q42" s="523"/>
      <c r="R42" s="523">
        <v>1</v>
      </c>
      <c r="S42" s="523">
        <v>1</v>
      </c>
      <c r="T42" s="523">
        <v>1</v>
      </c>
      <c r="U42" s="523">
        <v>1</v>
      </c>
      <c r="V42" s="523"/>
      <c r="W42" s="523">
        <v>1</v>
      </c>
      <c r="X42" s="523">
        <v>1</v>
      </c>
      <c r="Y42" s="523">
        <v>1</v>
      </c>
      <c r="Z42" s="523">
        <v>1</v>
      </c>
      <c r="AA42" s="523">
        <v>1</v>
      </c>
      <c r="AB42" s="523">
        <v>1</v>
      </c>
      <c r="AC42" s="530">
        <f t="shared" si="78"/>
        <v>294</v>
      </c>
      <c r="AD42" s="531">
        <f t="shared" si="87"/>
        <v>294</v>
      </c>
      <c r="AE42" s="647"/>
      <c r="AF42" s="647">
        <v>0.33</v>
      </c>
      <c r="AG42" s="979">
        <f t="shared" si="88"/>
        <v>97.02000000000001</v>
      </c>
      <c r="AH42" s="648">
        <f>$BE$60</f>
        <v>684</v>
      </c>
      <c r="AI42" s="640">
        <f t="shared" si="89"/>
        <v>0</v>
      </c>
      <c r="AJ42" s="641">
        <f t="shared" si="79"/>
        <v>66361.680000000008</v>
      </c>
      <c r="AK42" s="527">
        <f t="shared" si="80"/>
        <v>7.9065790060805982E-3</v>
      </c>
      <c r="AL42" s="530">
        <f t="shared" si="81"/>
        <v>84</v>
      </c>
      <c r="AM42" s="531">
        <f t="shared" si="90"/>
        <v>84</v>
      </c>
      <c r="AN42" s="647"/>
      <c r="AO42" s="647">
        <f t="shared" si="91"/>
        <v>0.33</v>
      </c>
      <c r="AP42" s="555">
        <f t="shared" si="82"/>
        <v>0</v>
      </c>
      <c r="AQ42" s="556">
        <f t="shared" si="83"/>
        <v>18960.480000000003</v>
      </c>
      <c r="AS42" s="530">
        <f t="shared" si="84"/>
        <v>210</v>
      </c>
      <c r="AT42" s="531">
        <f t="shared" si="92"/>
        <v>210</v>
      </c>
      <c r="AU42" s="647"/>
      <c r="AV42" s="647">
        <f t="shared" si="93"/>
        <v>0.33</v>
      </c>
      <c r="AW42" s="555">
        <f t="shared" si="85"/>
        <v>0</v>
      </c>
      <c r="AX42" s="556">
        <f t="shared" si="86"/>
        <v>47401.2</v>
      </c>
      <c r="AY42" s="547"/>
    </row>
    <row r="43" spans="1:51" ht="13.35" customHeight="1" x14ac:dyDescent="0.2">
      <c r="A43" s="502" t="s">
        <v>749</v>
      </c>
      <c r="B43" s="503" t="s">
        <v>325</v>
      </c>
      <c r="C43" s="528" t="s">
        <v>716</v>
      </c>
      <c r="E43" s="529"/>
      <c r="F43" s="523"/>
      <c r="G43" s="523"/>
      <c r="H43" s="523"/>
      <c r="I43" s="523"/>
      <c r="J43" s="523"/>
      <c r="K43" s="523"/>
      <c r="L43" s="523"/>
      <c r="M43" s="523"/>
      <c r="N43" s="523"/>
      <c r="O43" s="523"/>
      <c r="P43" s="524">
        <v>1</v>
      </c>
      <c r="Q43" s="523"/>
      <c r="R43" s="523"/>
      <c r="S43" s="523"/>
      <c r="T43" s="523"/>
      <c r="U43" s="523">
        <v>1</v>
      </c>
      <c r="V43" s="523"/>
      <c r="W43" s="523">
        <v>1</v>
      </c>
      <c r="X43" s="523"/>
      <c r="Y43" s="523">
        <v>1</v>
      </c>
      <c r="Z43" s="523"/>
      <c r="AA43" s="523">
        <v>1</v>
      </c>
      <c r="AB43" s="523">
        <v>1</v>
      </c>
      <c r="AC43" s="530">
        <f t="shared" si="78"/>
        <v>126</v>
      </c>
      <c r="AD43" s="531">
        <f t="shared" si="87"/>
        <v>126</v>
      </c>
      <c r="AE43" s="647"/>
      <c r="AF43" s="647">
        <v>0.02</v>
      </c>
      <c r="AG43" s="979">
        <f t="shared" si="88"/>
        <v>2.52</v>
      </c>
      <c r="AH43" s="648">
        <f>$BE$63</f>
        <v>684</v>
      </c>
      <c r="AI43" s="640">
        <f t="shared" si="89"/>
        <v>0</v>
      </c>
      <c r="AJ43" s="641">
        <f t="shared" si="79"/>
        <v>1723.68</v>
      </c>
      <c r="AK43" s="527">
        <f t="shared" si="80"/>
        <v>2.0536568846962592E-4</v>
      </c>
      <c r="AL43" s="530">
        <f t="shared" si="81"/>
        <v>21</v>
      </c>
      <c r="AM43" s="531">
        <f t="shared" si="90"/>
        <v>21</v>
      </c>
      <c r="AN43" s="647"/>
      <c r="AO43" s="647">
        <f t="shared" si="91"/>
        <v>0.02</v>
      </c>
      <c r="AP43" s="555">
        <f t="shared" si="82"/>
        <v>0</v>
      </c>
      <c r="AQ43" s="556">
        <f t="shared" si="83"/>
        <v>287.27999999999997</v>
      </c>
      <c r="AS43" s="530">
        <f t="shared" si="84"/>
        <v>105</v>
      </c>
      <c r="AT43" s="531">
        <f t="shared" si="92"/>
        <v>105</v>
      </c>
      <c r="AU43" s="647"/>
      <c r="AV43" s="647">
        <f t="shared" si="93"/>
        <v>0.02</v>
      </c>
      <c r="AW43" s="555">
        <f t="shared" si="85"/>
        <v>0</v>
      </c>
      <c r="AX43" s="556">
        <f t="shared" si="86"/>
        <v>1436.4</v>
      </c>
      <c r="AY43" s="547"/>
    </row>
    <row r="44" spans="1:51" ht="13.2" x14ac:dyDescent="0.2">
      <c r="A44" s="502" t="s">
        <v>749</v>
      </c>
      <c r="B44" s="503" t="s">
        <v>326</v>
      </c>
      <c r="C44" s="528" t="s">
        <v>717</v>
      </c>
      <c r="E44" s="529"/>
      <c r="F44" s="523"/>
      <c r="G44" s="523"/>
      <c r="H44" s="523"/>
      <c r="I44" s="523"/>
      <c r="J44" s="523"/>
      <c r="K44" s="523"/>
      <c r="L44" s="523"/>
      <c r="M44" s="523"/>
      <c r="N44" s="523">
        <v>1</v>
      </c>
      <c r="O44" s="523">
        <v>1</v>
      </c>
      <c r="P44" s="524">
        <v>1</v>
      </c>
      <c r="Q44" s="523"/>
      <c r="R44" s="523">
        <v>1</v>
      </c>
      <c r="S44" s="523">
        <v>1</v>
      </c>
      <c r="T44" s="523">
        <v>1</v>
      </c>
      <c r="U44" s="523">
        <v>1</v>
      </c>
      <c r="V44" s="523"/>
      <c r="W44" s="523">
        <v>1</v>
      </c>
      <c r="X44" s="523"/>
      <c r="Y44" s="523">
        <v>1</v>
      </c>
      <c r="Z44" s="523"/>
      <c r="AA44" s="523"/>
      <c r="AB44" s="523">
        <v>1</v>
      </c>
      <c r="AC44" s="530">
        <f t="shared" si="78"/>
        <v>210</v>
      </c>
      <c r="AD44" s="531">
        <f t="shared" si="87"/>
        <v>210</v>
      </c>
      <c r="AE44" s="647"/>
      <c r="AF44" s="647">
        <v>0.7</v>
      </c>
      <c r="AG44" s="979">
        <f t="shared" si="88"/>
        <v>147</v>
      </c>
      <c r="AH44" s="648">
        <f>$BE$59</f>
        <v>780</v>
      </c>
      <c r="AI44" s="640">
        <f t="shared" si="89"/>
        <v>0</v>
      </c>
      <c r="AJ44" s="641">
        <f t="shared" si="79"/>
        <v>114660</v>
      </c>
      <c r="AK44" s="527">
        <f t="shared" si="80"/>
        <v>1.3661021674514589E-2</v>
      </c>
      <c r="AL44" s="530">
        <f t="shared" si="81"/>
        <v>63</v>
      </c>
      <c r="AM44" s="531">
        <f t="shared" si="90"/>
        <v>63</v>
      </c>
      <c r="AN44" s="647"/>
      <c r="AO44" s="647">
        <f t="shared" si="91"/>
        <v>0.7</v>
      </c>
      <c r="AP44" s="555">
        <f t="shared" si="82"/>
        <v>0</v>
      </c>
      <c r="AQ44" s="556">
        <f t="shared" si="83"/>
        <v>34397.999999999993</v>
      </c>
      <c r="AS44" s="530">
        <f t="shared" si="84"/>
        <v>147</v>
      </c>
      <c r="AT44" s="531">
        <f t="shared" si="92"/>
        <v>147</v>
      </c>
      <c r="AU44" s="647"/>
      <c r="AV44" s="647">
        <f t="shared" si="93"/>
        <v>0.7</v>
      </c>
      <c r="AW44" s="555">
        <f t="shared" si="85"/>
        <v>0</v>
      </c>
      <c r="AX44" s="556">
        <f t="shared" si="86"/>
        <v>80262</v>
      </c>
      <c r="AY44" s="547"/>
    </row>
    <row r="45" spans="1:51" ht="13.2" x14ac:dyDescent="0.2">
      <c r="A45" s="502" t="s">
        <v>749</v>
      </c>
      <c r="B45" s="503" t="s">
        <v>327</v>
      </c>
      <c r="C45" s="528" t="s">
        <v>718</v>
      </c>
      <c r="E45" s="529"/>
      <c r="F45" s="523"/>
      <c r="G45" s="523"/>
      <c r="H45" s="523"/>
      <c r="I45" s="523"/>
      <c r="J45" s="523"/>
      <c r="K45" s="523"/>
      <c r="L45" s="523"/>
      <c r="M45" s="523"/>
      <c r="N45" s="523"/>
      <c r="O45" s="523"/>
      <c r="P45" s="524">
        <v>1</v>
      </c>
      <c r="Q45" s="523"/>
      <c r="R45" s="523"/>
      <c r="S45" s="523"/>
      <c r="T45" s="523"/>
      <c r="U45" s="523">
        <v>1</v>
      </c>
      <c r="V45" s="523"/>
      <c r="W45" s="523"/>
      <c r="X45" s="523"/>
      <c r="Y45" s="523">
        <v>1</v>
      </c>
      <c r="Z45" s="523"/>
      <c r="AA45" s="523"/>
      <c r="AB45" s="523">
        <v>1</v>
      </c>
      <c r="AC45" s="530">
        <f t="shared" si="78"/>
        <v>84</v>
      </c>
      <c r="AD45" s="531">
        <f t="shared" si="87"/>
        <v>84</v>
      </c>
      <c r="AE45" s="647"/>
      <c r="AF45" s="647">
        <v>0.03</v>
      </c>
      <c r="AG45" s="979">
        <f t="shared" si="88"/>
        <v>2.52</v>
      </c>
      <c r="AH45" s="648">
        <f>$BE$61</f>
        <v>948</v>
      </c>
      <c r="AI45" s="640">
        <f t="shared" si="89"/>
        <v>0</v>
      </c>
      <c r="AJ45" s="641">
        <f t="shared" si="79"/>
        <v>2388.96</v>
      </c>
      <c r="AK45" s="527">
        <f t="shared" si="80"/>
        <v>2.8462963840527103E-4</v>
      </c>
      <c r="AL45" s="530">
        <f t="shared" si="81"/>
        <v>21</v>
      </c>
      <c r="AM45" s="531">
        <f t="shared" si="90"/>
        <v>21</v>
      </c>
      <c r="AN45" s="647"/>
      <c r="AO45" s="647">
        <f t="shared" si="91"/>
        <v>0.03</v>
      </c>
      <c r="AP45" s="555">
        <f t="shared" si="82"/>
        <v>0</v>
      </c>
      <c r="AQ45" s="556">
        <f t="shared" si="83"/>
        <v>597.24</v>
      </c>
      <c r="AS45" s="530">
        <f t="shared" si="84"/>
        <v>63</v>
      </c>
      <c r="AT45" s="531">
        <f t="shared" si="92"/>
        <v>63</v>
      </c>
      <c r="AU45" s="647"/>
      <c r="AV45" s="647">
        <f t="shared" si="93"/>
        <v>0.03</v>
      </c>
      <c r="AW45" s="555">
        <f t="shared" si="85"/>
        <v>0</v>
      </c>
      <c r="AX45" s="556">
        <f t="shared" si="86"/>
        <v>1791.7199999999998</v>
      </c>
      <c r="AY45" s="547"/>
    </row>
    <row r="46" spans="1:51" ht="13.2" x14ac:dyDescent="0.2">
      <c r="A46" s="502" t="s">
        <v>749</v>
      </c>
      <c r="C46" s="976" t="s">
        <v>658</v>
      </c>
      <c r="E46" s="539"/>
      <c r="F46" s="540"/>
      <c r="G46" s="540"/>
      <c r="H46" s="540"/>
      <c r="I46" s="540"/>
      <c r="J46" s="540"/>
      <c r="K46" s="540"/>
      <c r="L46" s="540"/>
      <c r="M46" s="540"/>
      <c r="N46" s="540"/>
      <c r="O46" s="540"/>
      <c r="P46" s="541"/>
      <c r="Q46" s="523"/>
      <c r="R46" s="523"/>
      <c r="S46" s="523"/>
      <c r="T46" s="523"/>
      <c r="U46" s="523"/>
      <c r="V46" s="523"/>
      <c r="W46" s="523"/>
      <c r="X46" s="523"/>
      <c r="Y46" s="523"/>
      <c r="Z46" s="523"/>
      <c r="AA46" s="523"/>
      <c r="AB46" s="524"/>
      <c r="AC46" s="525"/>
      <c r="AD46" s="526"/>
      <c r="AE46" s="526"/>
      <c r="AF46" s="526"/>
      <c r="AG46" s="526"/>
      <c r="AH46" s="554"/>
      <c r="AI46" s="555"/>
      <c r="AJ46" s="556"/>
      <c r="AK46" s="527"/>
      <c r="AL46" s="525"/>
      <c r="AM46" s="526"/>
      <c r="AN46" s="526"/>
      <c r="AO46" s="526"/>
      <c r="AP46" s="555"/>
      <c r="AQ46" s="556"/>
      <c r="AS46" s="525"/>
      <c r="AT46" s="526"/>
      <c r="AU46" s="526"/>
      <c r="AV46" s="526"/>
      <c r="AW46" s="555"/>
      <c r="AX46" s="556"/>
    </row>
    <row r="47" spans="1:51" ht="13.2" x14ac:dyDescent="0.2">
      <c r="A47" s="502" t="s">
        <v>749</v>
      </c>
      <c r="B47" s="503" t="s">
        <v>322</v>
      </c>
      <c r="C47" s="528" t="s">
        <v>713</v>
      </c>
      <c r="E47" s="529">
        <v>1</v>
      </c>
      <c r="F47" s="523">
        <v>1</v>
      </c>
      <c r="G47" s="523">
        <v>1</v>
      </c>
      <c r="H47" s="523">
        <v>1</v>
      </c>
      <c r="I47" s="523">
        <v>1</v>
      </c>
      <c r="J47" s="523">
        <v>1</v>
      </c>
      <c r="K47" s="523">
        <v>1</v>
      </c>
      <c r="L47" s="523">
        <v>1</v>
      </c>
      <c r="M47" s="523">
        <v>1</v>
      </c>
      <c r="N47" s="523">
        <v>1</v>
      </c>
      <c r="O47" s="523">
        <v>1</v>
      </c>
      <c r="P47" s="524">
        <v>1</v>
      </c>
      <c r="Q47" s="523">
        <v>1</v>
      </c>
      <c r="R47" s="523">
        <v>1</v>
      </c>
      <c r="S47" s="523">
        <v>1</v>
      </c>
      <c r="T47" s="523">
        <v>1</v>
      </c>
      <c r="U47" s="523">
        <v>1</v>
      </c>
      <c r="V47" s="523">
        <v>1</v>
      </c>
      <c r="W47" s="523">
        <v>1</v>
      </c>
      <c r="X47" s="523">
        <v>1</v>
      </c>
      <c r="Y47" s="523">
        <v>1</v>
      </c>
      <c r="Z47" s="523">
        <v>1</v>
      </c>
      <c r="AA47" s="523">
        <v>1</v>
      </c>
      <c r="AB47" s="523">
        <v>1</v>
      </c>
      <c r="AC47" s="530">
        <f t="shared" ref="AC47:AC52" si="94">COUNTA(E47:AB47)*21</f>
        <v>504</v>
      </c>
      <c r="AD47" s="531">
        <f>COUNTA(E47:AB47)*21</f>
        <v>504</v>
      </c>
      <c r="AE47" s="647"/>
      <c r="AF47" s="647">
        <v>0.12</v>
      </c>
      <c r="AG47" s="979">
        <f>AF47*AD47</f>
        <v>60.48</v>
      </c>
      <c r="AH47" s="648">
        <f>$BE$58</f>
        <v>888</v>
      </c>
      <c r="AI47" s="640">
        <f>AC47*AE47*AG47</f>
        <v>0</v>
      </c>
      <c r="AJ47" s="641">
        <f t="shared" ref="AJ47:AJ52" si="95">AD47*AF47*AH47</f>
        <v>53706.239999999998</v>
      </c>
      <c r="AK47" s="527">
        <f t="shared" ref="AK47:AK52" si="96">AJ47/$AJ$90</f>
        <v>6.3987625038957122E-3</v>
      </c>
      <c r="AL47" s="530">
        <f t="shared" ref="AL47:AL52" si="97">COUNTA(E47:P47)*21</f>
        <v>252</v>
      </c>
      <c r="AM47" s="531">
        <f>AL47</f>
        <v>252</v>
      </c>
      <c r="AN47" s="647"/>
      <c r="AO47" s="647">
        <f>AF47</f>
        <v>0.12</v>
      </c>
      <c r="AP47" s="555">
        <f t="shared" ref="AP47:AP52" si="98">AL47*AN47*AG47</f>
        <v>0</v>
      </c>
      <c r="AQ47" s="556">
        <f t="shared" ref="AQ47:AQ52" si="99">AM47*AO47*AH47</f>
        <v>26853.119999999999</v>
      </c>
      <c r="AS47" s="530">
        <f t="shared" ref="AS47:AS52" si="100">COUNTA(Q47:AB47)*21</f>
        <v>252</v>
      </c>
      <c r="AT47" s="531">
        <f>AS47</f>
        <v>252</v>
      </c>
      <c r="AU47" s="647"/>
      <c r="AV47" s="647">
        <f>AF47</f>
        <v>0.12</v>
      </c>
      <c r="AW47" s="555">
        <f t="shared" ref="AW47:AW52" si="101">AS47*AU47*AG47</f>
        <v>0</v>
      </c>
      <c r="AX47" s="556">
        <f t="shared" ref="AX47:AX52" si="102">AT47*AV47*AH47</f>
        <v>26853.119999999999</v>
      </c>
      <c r="AY47" s="547"/>
    </row>
    <row r="48" spans="1:51" ht="13.2" x14ac:dyDescent="0.2">
      <c r="A48" s="502" t="s">
        <v>749</v>
      </c>
      <c r="B48" s="503" t="s">
        <v>323</v>
      </c>
      <c r="C48" s="528" t="s">
        <v>714</v>
      </c>
      <c r="E48" s="529"/>
      <c r="F48" s="523"/>
      <c r="G48" s="523"/>
      <c r="H48" s="523"/>
      <c r="I48" s="523"/>
      <c r="J48" s="523"/>
      <c r="K48" s="523">
        <v>1</v>
      </c>
      <c r="L48" s="523">
        <v>1</v>
      </c>
      <c r="M48" s="523">
        <v>1</v>
      </c>
      <c r="N48" s="523">
        <v>1</v>
      </c>
      <c r="O48" s="523">
        <v>1</v>
      </c>
      <c r="P48" s="524">
        <v>1</v>
      </c>
      <c r="Q48" s="523">
        <v>1</v>
      </c>
      <c r="R48" s="523">
        <v>1</v>
      </c>
      <c r="S48" s="523">
        <v>1</v>
      </c>
      <c r="T48" s="523">
        <v>1</v>
      </c>
      <c r="U48" s="523">
        <v>1</v>
      </c>
      <c r="V48" s="523">
        <v>1</v>
      </c>
      <c r="W48" s="523">
        <v>1</v>
      </c>
      <c r="X48" s="523">
        <v>1</v>
      </c>
      <c r="Y48" s="523">
        <v>1</v>
      </c>
      <c r="Z48" s="523">
        <v>1</v>
      </c>
      <c r="AA48" s="523">
        <v>1</v>
      </c>
      <c r="AB48" s="523">
        <v>1</v>
      </c>
      <c r="AC48" s="530">
        <f t="shared" si="94"/>
        <v>378</v>
      </c>
      <c r="AD48" s="531">
        <f t="shared" ref="AD48:AD52" si="103">COUNTA(E48:AB48)*21</f>
        <v>378</v>
      </c>
      <c r="AE48" s="647"/>
      <c r="AF48" s="647">
        <v>0.48</v>
      </c>
      <c r="AG48" s="979">
        <f t="shared" ref="AG48:AG52" si="104">AF48*AD48</f>
        <v>181.44</v>
      </c>
      <c r="AH48" s="648">
        <f>$BE$59</f>
        <v>780</v>
      </c>
      <c r="AI48" s="640">
        <f t="shared" ref="AI48:AI52" si="105">AC48*AE48*AG48</f>
        <v>0</v>
      </c>
      <c r="AJ48" s="641">
        <f t="shared" si="95"/>
        <v>141523.20000000001</v>
      </c>
      <c r="AK48" s="527">
        <f t="shared" si="96"/>
        <v>1.6861603895400867E-2</v>
      </c>
      <c r="AL48" s="530">
        <f t="shared" si="97"/>
        <v>126</v>
      </c>
      <c r="AM48" s="531">
        <f t="shared" ref="AM48:AM52" si="106">AL48</f>
        <v>126</v>
      </c>
      <c r="AN48" s="647"/>
      <c r="AO48" s="647">
        <f t="shared" ref="AO48:AO52" si="107">AF48</f>
        <v>0.48</v>
      </c>
      <c r="AP48" s="555">
        <f t="shared" si="98"/>
        <v>0</v>
      </c>
      <c r="AQ48" s="556">
        <f t="shared" si="99"/>
        <v>47174.399999999994</v>
      </c>
      <c r="AS48" s="530">
        <f t="shared" si="100"/>
        <v>252</v>
      </c>
      <c r="AT48" s="531">
        <f t="shared" ref="AT48:AT52" si="108">AS48</f>
        <v>252</v>
      </c>
      <c r="AU48" s="647"/>
      <c r="AV48" s="647">
        <f t="shared" ref="AV48:AV52" si="109">AF48</f>
        <v>0.48</v>
      </c>
      <c r="AW48" s="555">
        <f t="shared" si="101"/>
        <v>0</v>
      </c>
      <c r="AX48" s="556">
        <f t="shared" si="102"/>
        <v>94348.799999999988</v>
      </c>
      <c r="AY48" s="547"/>
    </row>
    <row r="49" spans="1:58" ht="13.2" x14ac:dyDescent="0.2">
      <c r="A49" s="502" t="s">
        <v>749</v>
      </c>
      <c r="B49" s="503" t="s">
        <v>324</v>
      </c>
      <c r="C49" s="528" t="s">
        <v>715</v>
      </c>
      <c r="E49" s="529"/>
      <c r="F49" s="523"/>
      <c r="G49" s="523"/>
      <c r="H49" s="523"/>
      <c r="I49" s="523"/>
      <c r="J49" s="523"/>
      <c r="K49" s="523"/>
      <c r="L49" s="523"/>
      <c r="M49" s="523">
        <v>1</v>
      </c>
      <c r="N49" s="523">
        <v>1</v>
      </c>
      <c r="O49" s="523">
        <v>1</v>
      </c>
      <c r="P49" s="524">
        <v>1</v>
      </c>
      <c r="Q49" s="523"/>
      <c r="R49" s="523">
        <v>1</v>
      </c>
      <c r="S49" s="523">
        <v>1</v>
      </c>
      <c r="T49" s="523">
        <v>1</v>
      </c>
      <c r="U49" s="523">
        <v>1</v>
      </c>
      <c r="V49" s="523"/>
      <c r="W49" s="523">
        <v>1</v>
      </c>
      <c r="X49" s="523">
        <v>1</v>
      </c>
      <c r="Y49" s="523">
        <v>1</v>
      </c>
      <c r="Z49" s="523">
        <v>1</v>
      </c>
      <c r="AA49" s="523">
        <v>1</v>
      </c>
      <c r="AB49" s="523">
        <v>1</v>
      </c>
      <c r="AC49" s="530">
        <f t="shared" si="94"/>
        <v>294</v>
      </c>
      <c r="AD49" s="531">
        <f t="shared" si="103"/>
        <v>294</v>
      </c>
      <c r="AE49" s="647"/>
      <c r="AF49" s="647">
        <v>0.12</v>
      </c>
      <c r="AG49" s="979">
        <f t="shared" si="104"/>
        <v>35.28</v>
      </c>
      <c r="AH49" s="648">
        <f>$BE$60</f>
        <v>684</v>
      </c>
      <c r="AI49" s="640">
        <f t="shared" si="105"/>
        <v>0</v>
      </c>
      <c r="AJ49" s="641">
        <f t="shared" si="95"/>
        <v>24131.52</v>
      </c>
      <c r="AK49" s="527">
        <f t="shared" si="96"/>
        <v>2.8751196385747627E-3</v>
      </c>
      <c r="AL49" s="530">
        <f t="shared" si="97"/>
        <v>84</v>
      </c>
      <c r="AM49" s="531">
        <f t="shared" si="106"/>
        <v>84</v>
      </c>
      <c r="AN49" s="647"/>
      <c r="AO49" s="647">
        <f t="shared" si="107"/>
        <v>0.12</v>
      </c>
      <c r="AP49" s="555">
        <f t="shared" si="98"/>
        <v>0</v>
      </c>
      <c r="AQ49" s="556">
        <f t="shared" si="99"/>
        <v>6894.72</v>
      </c>
      <c r="AS49" s="530">
        <f t="shared" si="100"/>
        <v>210</v>
      </c>
      <c r="AT49" s="531">
        <f t="shared" si="108"/>
        <v>210</v>
      </c>
      <c r="AU49" s="647"/>
      <c r="AV49" s="647">
        <f t="shared" si="109"/>
        <v>0.12</v>
      </c>
      <c r="AW49" s="555">
        <f t="shared" si="101"/>
        <v>0</v>
      </c>
      <c r="AX49" s="556">
        <f t="shared" si="102"/>
        <v>17236.8</v>
      </c>
      <c r="AY49" s="547"/>
    </row>
    <row r="50" spans="1:58" ht="13.35" customHeight="1" x14ac:dyDescent="0.2">
      <c r="A50" s="502" t="s">
        <v>749</v>
      </c>
      <c r="B50" s="503" t="s">
        <v>325</v>
      </c>
      <c r="C50" s="528" t="s">
        <v>716</v>
      </c>
      <c r="E50" s="529"/>
      <c r="F50" s="523"/>
      <c r="G50" s="523"/>
      <c r="H50" s="523"/>
      <c r="I50" s="523"/>
      <c r="J50" s="523"/>
      <c r="K50" s="523"/>
      <c r="L50" s="523"/>
      <c r="M50" s="523"/>
      <c r="N50" s="523"/>
      <c r="O50" s="523"/>
      <c r="P50" s="524">
        <v>1</v>
      </c>
      <c r="Q50" s="523"/>
      <c r="R50" s="523"/>
      <c r="S50" s="523"/>
      <c r="T50" s="523"/>
      <c r="U50" s="523">
        <v>1</v>
      </c>
      <c r="V50" s="523"/>
      <c r="W50" s="523">
        <v>1</v>
      </c>
      <c r="X50" s="523"/>
      <c r="Y50" s="523">
        <v>1</v>
      </c>
      <c r="Z50" s="523"/>
      <c r="AA50" s="523">
        <v>1</v>
      </c>
      <c r="AB50" s="523">
        <v>1</v>
      </c>
      <c r="AC50" s="530">
        <f t="shared" si="94"/>
        <v>126</v>
      </c>
      <c r="AD50" s="531">
        <f t="shared" si="103"/>
        <v>126</v>
      </c>
      <c r="AE50" s="647"/>
      <c r="AF50" s="647">
        <v>0.01</v>
      </c>
      <c r="AG50" s="979">
        <f t="shared" si="104"/>
        <v>1.26</v>
      </c>
      <c r="AH50" s="648">
        <f>$BE$63</f>
        <v>684</v>
      </c>
      <c r="AI50" s="640">
        <f t="shared" si="105"/>
        <v>0</v>
      </c>
      <c r="AJ50" s="641">
        <f t="shared" si="95"/>
        <v>861.84</v>
      </c>
      <c r="AK50" s="527">
        <f t="shared" si="96"/>
        <v>1.0268284423481296E-4</v>
      </c>
      <c r="AL50" s="530">
        <f t="shared" si="97"/>
        <v>21</v>
      </c>
      <c r="AM50" s="531">
        <f t="shared" si="106"/>
        <v>21</v>
      </c>
      <c r="AN50" s="647"/>
      <c r="AO50" s="647">
        <f t="shared" si="107"/>
        <v>0.01</v>
      </c>
      <c r="AP50" s="555">
        <f t="shared" si="98"/>
        <v>0</v>
      </c>
      <c r="AQ50" s="556">
        <f t="shared" si="99"/>
        <v>143.63999999999999</v>
      </c>
      <c r="AS50" s="530">
        <f t="shared" si="100"/>
        <v>105</v>
      </c>
      <c r="AT50" s="531">
        <f t="shared" si="108"/>
        <v>105</v>
      </c>
      <c r="AU50" s="647"/>
      <c r="AV50" s="647">
        <f t="shared" si="109"/>
        <v>0.01</v>
      </c>
      <c r="AW50" s="555">
        <f t="shared" si="101"/>
        <v>0</v>
      </c>
      <c r="AX50" s="556">
        <f t="shared" si="102"/>
        <v>718.2</v>
      </c>
      <c r="AY50" s="547"/>
    </row>
    <row r="51" spans="1:58" ht="13.2" x14ac:dyDescent="0.2">
      <c r="A51" s="502" t="s">
        <v>749</v>
      </c>
      <c r="B51" s="503" t="s">
        <v>326</v>
      </c>
      <c r="C51" s="528" t="s">
        <v>717</v>
      </c>
      <c r="E51" s="529"/>
      <c r="F51" s="523"/>
      <c r="G51" s="523"/>
      <c r="H51" s="523"/>
      <c r="I51" s="523"/>
      <c r="J51" s="523"/>
      <c r="K51" s="523"/>
      <c r="L51" s="523"/>
      <c r="M51" s="523"/>
      <c r="N51" s="523">
        <v>1</v>
      </c>
      <c r="O51" s="523">
        <v>1</v>
      </c>
      <c r="P51" s="524">
        <v>1</v>
      </c>
      <c r="Q51" s="523"/>
      <c r="R51" s="523">
        <v>1</v>
      </c>
      <c r="S51" s="523">
        <v>1</v>
      </c>
      <c r="T51" s="523">
        <v>1</v>
      </c>
      <c r="U51" s="523">
        <v>1</v>
      </c>
      <c r="V51" s="523"/>
      <c r="W51" s="523">
        <v>1</v>
      </c>
      <c r="X51" s="523"/>
      <c r="Y51" s="523">
        <v>1</v>
      </c>
      <c r="Z51" s="523"/>
      <c r="AA51" s="523"/>
      <c r="AB51" s="523">
        <v>1</v>
      </c>
      <c r="AC51" s="530">
        <f t="shared" si="94"/>
        <v>210</v>
      </c>
      <c r="AD51" s="531">
        <f t="shared" si="103"/>
        <v>210</v>
      </c>
      <c r="AE51" s="647"/>
      <c r="AF51" s="647">
        <v>0.26</v>
      </c>
      <c r="AG51" s="979">
        <f t="shared" si="104"/>
        <v>54.6</v>
      </c>
      <c r="AH51" s="648">
        <f>$BE$59</f>
        <v>780</v>
      </c>
      <c r="AI51" s="640">
        <f t="shared" si="105"/>
        <v>0</v>
      </c>
      <c r="AJ51" s="641">
        <f t="shared" si="95"/>
        <v>42588</v>
      </c>
      <c r="AK51" s="527">
        <f t="shared" si="96"/>
        <v>5.074093764819705E-3</v>
      </c>
      <c r="AL51" s="530">
        <f t="shared" si="97"/>
        <v>63</v>
      </c>
      <c r="AM51" s="531">
        <f t="shared" si="106"/>
        <v>63</v>
      </c>
      <c r="AN51" s="647"/>
      <c r="AO51" s="647">
        <f t="shared" si="107"/>
        <v>0.26</v>
      </c>
      <c r="AP51" s="555">
        <f t="shared" si="98"/>
        <v>0</v>
      </c>
      <c r="AQ51" s="556">
        <f t="shared" si="99"/>
        <v>12776.4</v>
      </c>
      <c r="AS51" s="530">
        <f t="shared" si="100"/>
        <v>147</v>
      </c>
      <c r="AT51" s="531">
        <f t="shared" si="108"/>
        <v>147</v>
      </c>
      <c r="AU51" s="647"/>
      <c r="AV51" s="647">
        <f t="shared" si="109"/>
        <v>0.26</v>
      </c>
      <c r="AW51" s="555">
        <f t="shared" si="101"/>
        <v>0</v>
      </c>
      <c r="AX51" s="556">
        <f t="shared" si="102"/>
        <v>29811.599999999999</v>
      </c>
      <c r="AY51" s="547"/>
    </row>
    <row r="52" spans="1:58" ht="13.2" x14ac:dyDescent="0.2">
      <c r="A52" s="502" t="s">
        <v>749</v>
      </c>
      <c r="B52" s="503" t="s">
        <v>327</v>
      </c>
      <c r="C52" s="528" t="s">
        <v>718</v>
      </c>
      <c r="E52" s="529"/>
      <c r="F52" s="523"/>
      <c r="G52" s="523"/>
      <c r="H52" s="523"/>
      <c r="I52" s="523"/>
      <c r="J52" s="523"/>
      <c r="K52" s="523"/>
      <c r="L52" s="523"/>
      <c r="M52" s="523"/>
      <c r="N52" s="523"/>
      <c r="O52" s="523"/>
      <c r="P52" s="524">
        <v>1</v>
      </c>
      <c r="Q52" s="523"/>
      <c r="R52" s="523"/>
      <c r="S52" s="523"/>
      <c r="T52" s="523"/>
      <c r="U52" s="523">
        <v>1</v>
      </c>
      <c r="V52" s="523"/>
      <c r="W52" s="523"/>
      <c r="X52" s="523"/>
      <c r="Y52" s="523">
        <v>1</v>
      </c>
      <c r="Z52" s="523"/>
      <c r="AA52" s="523"/>
      <c r="AB52" s="523">
        <v>1</v>
      </c>
      <c r="AC52" s="530">
        <f t="shared" si="94"/>
        <v>84</v>
      </c>
      <c r="AD52" s="531">
        <f t="shared" si="103"/>
        <v>84</v>
      </c>
      <c r="AE52" s="647"/>
      <c r="AF52" s="647">
        <v>0.01</v>
      </c>
      <c r="AG52" s="979">
        <f t="shared" si="104"/>
        <v>0.84</v>
      </c>
      <c r="AH52" s="648">
        <f>$BE$61</f>
        <v>948</v>
      </c>
      <c r="AI52" s="640">
        <f t="shared" si="105"/>
        <v>0</v>
      </c>
      <c r="AJ52" s="641">
        <f t="shared" si="95"/>
        <v>796.31999999999994</v>
      </c>
      <c r="AK52" s="527">
        <f t="shared" si="96"/>
        <v>9.4876546135090335E-5</v>
      </c>
      <c r="AL52" s="530">
        <f t="shared" si="97"/>
        <v>21</v>
      </c>
      <c r="AM52" s="531">
        <f t="shared" si="106"/>
        <v>21</v>
      </c>
      <c r="AN52" s="647"/>
      <c r="AO52" s="647">
        <f t="shared" si="107"/>
        <v>0.01</v>
      </c>
      <c r="AP52" s="555">
        <f t="shared" si="98"/>
        <v>0</v>
      </c>
      <c r="AQ52" s="556">
        <f t="shared" si="99"/>
        <v>199.07999999999998</v>
      </c>
      <c r="AS52" s="530">
        <f t="shared" si="100"/>
        <v>63</v>
      </c>
      <c r="AT52" s="531">
        <f t="shared" si="108"/>
        <v>63</v>
      </c>
      <c r="AU52" s="647"/>
      <c r="AV52" s="647">
        <f t="shared" si="109"/>
        <v>0.01</v>
      </c>
      <c r="AW52" s="555">
        <f t="shared" si="101"/>
        <v>0</v>
      </c>
      <c r="AX52" s="556">
        <f t="shared" si="102"/>
        <v>597.24</v>
      </c>
      <c r="AY52" s="547"/>
    </row>
    <row r="53" spans="1:58" ht="13.2" x14ac:dyDescent="0.2">
      <c r="A53" s="502" t="s">
        <v>749</v>
      </c>
      <c r="C53" s="976" t="s">
        <v>659</v>
      </c>
      <c r="E53" s="539"/>
      <c r="F53" s="540"/>
      <c r="G53" s="540"/>
      <c r="H53" s="540"/>
      <c r="I53" s="540"/>
      <c r="J53" s="540"/>
      <c r="K53" s="540"/>
      <c r="L53" s="540"/>
      <c r="M53" s="540"/>
      <c r="N53" s="540"/>
      <c r="O53" s="540"/>
      <c r="P53" s="541"/>
      <c r="Q53" s="523"/>
      <c r="R53" s="523"/>
      <c r="S53" s="523"/>
      <c r="T53" s="523"/>
      <c r="U53" s="523"/>
      <c r="V53" s="523"/>
      <c r="W53" s="523"/>
      <c r="X53" s="523"/>
      <c r="Y53" s="523"/>
      <c r="Z53" s="523"/>
      <c r="AA53" s="523"/>
      <c r="AB53" s="524"/>
      <c r="AC53" s="525"/>
      <c r="AD53" s="526"/>
      <c r="AE53" s="526"/>
      <c r="AF53" s="526"/>
      <c r="AG53" s="526"/>
      <c r="AH53" s="554"/>
      <c r="AI53" s="555"/>
      <c r="AJ53" s="556"/>
      <c r="AK53" s="527"/>
      <c r="AL53" s="525"/>
      <c r="AM53" s="526"/>
      <c r="AN53" s="526"/>
      <c r="AO53" s="526"/>
      <c r="AP53" s="555"/>
      <c r="AQ53" s="556"/>
      <c r="AS53" s="525"/>
      <c r="AT53" s="526"/>
      <c r="AU53" s="526"/>
      <c r="AV53" s="526"/>
      <c r="AW53" s="555"/>
      <c r="AX53" s="556"/>
    </row>
    <row r="54" spans="1:58" ht="13.8" thickBot="1" x14ac:dyDescent="0.25">
      <c r="A54" s="502" t="s">
        <v>749</v>
      </c>
      <c r="B54" s="503" t="s">
        <v>322</v>
      </c>
      <c r="C54" s="528" t="s">
        <v>713</v>
      </c>
      <c r="E54" s="529">
        <v>1</v>
      </c>
      <c r="F54" s="523">
        <v>1</v>
      </c>
      <c r="G54" s="523">
        <v>1</v>
      </c>
      <c r="H54" s="523">
        <v>1</v>
      </c>
      <c r="I54" s="523">
        <v>1</v>
      </c>
      <c r="J54" s="523">
        <v>1</v>
      </c>
      <c r="K54" s="523">
        <v>1</v>
      </c>
      <c r="L54" s="523">
        <v>1</v>
      </c>
      <c r="M54" s="523">
        <v>1</v>
      </c>
      <c r="N54" s="523">
        <v>1</v>
      </c>
      <c r="O54" s="523">
        <v>1</v>
      </c>
      <c r="P54" s="524">
        <v>1</v>
      </c>
      <c r="Q54" s="523">
        <v>1</v>
      </c>
      <c r="R54" s="523">
        <v>1</v>
      </c>
      <c r="S54" s="523">
        <v>1</v>
      </c>
      <c r="T54" s="523">
        <v>1</v>
      </c>
      <c r="U54" s="523">
        <v>1</v>
      </c>
      <c r="V54" s="523">
        <v>1</v>
      </c>
      <c r="W54" s="523">
        <v>1</v>
      </c>
      <c r="X54" s="523">
        <v>1</v>
      </c>
      <c r="Y54" s="523">
        <v>1</v>
      </c>
      <c r="Z54" s="523">
        <v>1</v>
      </c>
      <c r="AA54" s="523">
        <v>1</v>
      </c>
      <c r="AB54" s="523">
        <v>1</v>
      </c>
      <c r="AC54" s="530">
        <f t="shared" ref="AC54:AC59" si="110">COUNTA(E54:AB54)*21</f>
        <v>504</v>
      </c>
      <c r="AD54" s="531">
        <f>COUNTA(E54:AB54)*21</f>
        <v>504</v>
      </c>
      <c r="AE54" s="647"/>
      <c r="AF54" s="647">
        <v>0.15000000000000002</v>
      </c>
      <c r="AG54" s="979">
        <f>AF54*AD54</f>
        <v>75.600000000000009</v>
      </c>
      <c r="AH54" s="648">
        <f>$BE$58</f>
        <v>888</v>
      </c>
      <c r="AI54" s="640">
        <f>AC54*AE54*AG54</f>
        <v>0</v>
      </c>
      <c r="AJ54" s="641">
        <f t="shared" ref="AJ54:AJ59" si="111">AD54*AF54*AH54</f>
        <v>67132.800000000003</v>
      </c>
      <c r="AK54" s="527">
        <f t="shared" ref="AK54:AK89" si="112">AJ54/$AJ$90</f>
        <v>7.9984531298696419E-3</v>
      </c>
      <c r="AL54" s="530">
        <f t="shared" ref="AL54:AL59" si="113">COUNTA(E54:P54)*21</f>
        <v>252</v>
      </c>
      <c r="AM54" s="531">
        <f>AL54</f>
        <v>252</v>
      </c>
      <c r="AN54" s="647"/>
      <c r="AO54" s="647">
        <f>AF54</f>
        <v>0.15000000000000002</v>
      </c>
      <c r="AP54" s="555">
        <f t="shared" ref="AP54:AP59" si="114">AL54*AN54*AG54</f>
        <v>0</v>
      </c>
      <c r="AQ54" s="556">
        <f t="shared" ref="AQ54:AQ59" si="115">AM54*AO54*AH54</f>
        <v>33566.400000000001</v>
      </c>
      <c r="AS54" s="530">
        <f t="shared" ref="AS54:AS59" si="116">COUNTA(Q54:AB54)*21</f>
        <v>252</v>
      </c>
      <c r="AT54" s="531">
        <f>AS54</f>
        <v>252</v>
      </c>
      <c r="AU54" s="647"/>
      <c r="AV54" s="647">
        <f>AF54</f>
        <v>0.15000000000000002</v>
      </c>
      <c r="AW54" s="555">
        <f t="shared" ref="AW54:AW59" si="117">AS54*AU54*AG54</f>
        <v>0</v>
      </c>
      <c r="AX54" s="556">
        <f t="shared" ref="AX54:AX59" si="118">AT54*AV54*AH54</f>
        <v>33566.400000000001</v>
      </c>
      <c r="AY54" s="547"/>
    </row>
    <row r="55" spans="1:58" ht="14.4" x14ac:dyDescent="0.3">
      <c r="A55" s="502" t="s">
        <v>749</v>
      </c>
      <c r="B55" s="503" t="s">
        <v>323</v>
      </c>
      <c r="C55" s="528" t="s">
        <v>714</v>
      </c>
      <c r="E55" s="529"/>
      <c r="F55" s="523"/>
      <c r="G55" s="523"/>
      <c r="H55" s="523"/>
      <c r="I55" s="523"/>
      <c r="J55" s="523"/>
      <c r="K55" s="523">
        <v>1</v>
      </c>
      <c r="L55" s="523">
        <v>1</v>
      </c>
      <c r="M55" s="523">
        <v>1</v>
      </c>
      <c r="N55" s="523">
        <v>1</v>
      </c>
      <c r="O55" s="523">
        <v>1</v>
      </c>
      <c r="P55" s="524">
        <v>1</v>
      </c>
      <c r="Q55" s="523">
        <v>1</v>
      </c>
      <c r="R55" s="523">
        <v>1</v>
      </c>
      <c r="S55" s="523">
        <v>1</v>
      </c>
      <c r="T55" s="523">
        <v>1</v>
      </c>
      <c r="U55" s="523">
        <v>1</v>
      </c>
      <c r="V55" s="523">
        <v>1</v>
      </c>
      <c r="W55" s="523">
        <v>1</v>
      </c>
      <c r="X55" s="523">
        <v>1</v>
      </c>
      <c r="Y55" s="523">
        <v>1</v>
      </c>
      <c r="Z55" s="523">
        <v>1</v>
      </c>
      <c r="AA55" s="523">
        <v>1</v>
      </c>
      <c r="AB55" s="523">
        <v>1</v>
      </c>
      <c r="AC55" s="530">
        <f t="shared" si="110"/>
        <v>378</v>
      </c>
      <c r="AD55" s="531">
        <f t="shared" ref="AD55:AD59" si="119">COUNTA(E55:AB55)*21</f>
        <v>378</v>
      </c>
      <c r="AE55" s="647"/>
      <c r="AF55" s="647">
        <v>0.6</v>
      </c>
      <c r="AG55" s="979">
        <f t="shared" ref="AG55:AG59" si="120">AF55*AD55</f>
        <v>226.79999999999998</v>
      </c>
      <c r="AH55" s="648">
        <f>$BE$59</f>
        <v>780</v>
      </c>
      <c r="AI55" s="640">
        <f t="shared" ref="AI55:AI59" si="121">AC55*AE55*AG55</f>
        <v>0</v>
      </c>
      <c r="AJ55" s="641">
        <f t="shared" si="111"/>
        <v>176904</v>
      </c>
      <c r="AK55" s="527">
        <f t="shared" si="112"/>
        <v>2.1077004869251081E-2</v>
      </c>
      <c r="AL55" s="530">
        <f t="shared" si="113"/>
        <v>126</v>
      </c>
      <c r="AM55" s="531">
        <f t="shared" ref="AM55:AM59" si="122">AL55</f>
        <v>126</v>
      </c>
      <c r="AN55" s="647"/>
      <c r="AO55" s="647">
        <f t="shared" ref="AO55:AO59" si="123">AF55</f>
        <v>0.6</v>
      </c>
      <c r="AP55" s="555">
        <f t="shared" si="114"/>
        <v>0</v>
      </c>
      <c r="AQ55" s="556">
        <f t="shared" si="115"/>
        <v>58967.999999999993</v>
      </c>
      <c r="AS55" s="530">
        <f t="shared" si="116"/>
        <v>252</v>
      </c>
      <c r="AT55" s="531">
        <f t="shared" ref="AT55:AT59" si="124">AS55</f>
        <v>252</v>
      </c>
      <c r="AU55" s="647"/>
      <c r="AV55" s="647">
        <f t="shared" ref="AV55:AV59" si="125">AF55</f>
        <v>0.6</v>
      </c>
      <c r="AW55" s="555">
        <f t="shared" si="117"/>
        <v>0</v>
      </c>
      <c r="AX55" s="556">
        <f t="shared" si="118"/>
        <v>117935.99999999999</v>
      </c>
      <c r="AY55" s="547"/>
      <c r="BA55" s="550"/>
      <c r="BB55" s="550"/>
      <c r="BC55" s="550"/>
      <c r="BD55" s="550"/>
      <c r="BE55" s="550"/>
      <c r="BF55" s="948"/>
    </row>
    <row r="56" spans="1:58" ht="28.8" x14ac:dyDescent="0.3">
      <c r="A56" s="502" t="s">
        <v>749</v>
      </c>
      <c r="B56" s="503" t="s">
        <v>324</v>
      </c>
      <c r="C56" s="528" t="s">
        <v>715</v>
      </c>
      <c r="E56" s="529"/>
      <c r="F56" s="523"/>
      <c r="G56" s="523"/>
      <c r="H56" s="523"/>
      <c r="I56" s="523"/>
      <c r="J56" s="523"/>
      <c r="K56" s="523"/>
      <c r="L56" s="523"/>
      <c r="M56" s="523">
        <v>1</v>
      </c>
      <c r="N56" s="523">
        <v>1</v>
      </c>
      <c r="O56" s="523">
        <v>1</v>
      </c>
      <c r="P56" s="524">
        <v>1</v>
      </c>
      <c r="Q56" s="523"/>
      <c r="R56" s="523">
        <v>1</v>
      </c>
      <c r="S56" s="523">
        <v>1</v>
      </c>
      <c r="T56" s="523">
        <v>1</v>
      </c>
      <c r="U56" s="523">
        <v>1</v>
      </c>
      <c r="V56" s="523"/>
      <c r="W56" s="523">
        <v>1</v>
      </c>
      <c r="X56" s="523">
        <v>1</v>
      </c>
      <c r="Y56" s="523">
        <v>1</v>
      </c>
      <c r="Z56" s="523">
        <v>1</v>
      </c>
      <c r="AA56" s="523">
        <v>1</v>
      </c>
      <c r="AB56" s="523">
        <v>1</v>
      </c>
      <c r="AC56" s="530">
        <f t="shared" si="110"/>
        <v>294</v>
      </c>
      <c r="AD56" s="531">
        <f t="shared" si="119"/>
        <v>294</v>
      </c>
      <c r="AE56" s="647"/>
      <c r="AF56" s="647">
        <v>0.15000000000000002</v>
      </c>
      <c r="AG56" s="979">
        <f t="shared" si="120"/>
        <v>44.100000000000009</v>
      </c>
      <c r="AH56" s="648">
        <f>$BE$60</f>
        <v>684</v>
      </c>
      <c r="AI56" s="640">
        <f t="shared" si="121"/>
        <v>0</v>
      </c>
      <c r="AJ56" s="641">
        <f t="shared" si="111"/>
        <v>30164.400000000005</v>
      </c>
      <c r="AK56" s="527">
        <f t="shared" si="112"/>
        <v>3.5938995482184544E-3</v>
      </c>
      <c r="AL56" s="530">
        <f t="shared" si="113"/>
        <v>84</v>
      </c>
      <c r="AM56" s="531">
        <f t="shared" si="122"/>
        <v>84</v>
      </c>
      <c r="AN56" s="647"/>
      <c r="AO56" s="647">
        <f t="shared" si="123"/>
        <v>0.15000000000000002</v>
      </c>
      <c r="AP56" s="555">
        <f t="shared" si="114"/>
        <v>0</v>
      </c>
      <c r="AQ56" s="556">
        <f t="shared" si="115"/>
        <v>8618.4000000000015</v>
      </c>
      <c r="AS56" s="530">
        <f t="shared" si="116"/>
        <v>210</v>
      </c>
      <c r="AT56" s="531">
        <f t="shared" si="124"/>
        <v>210</v>
      </c>
      <c r="AU56" s="647"/>
      <c r="AV56" s="647">
        <f t="shared" si="125"/>
        <v>0.15000000000000002</v>
      </c>
      <c r="AW56" s="555">
        <f t="shared" si="117"/>
        <v>0</v>
      </c>
      <c r="AX56" s="556">
        <f t="shared" si="118"/>
        <v>21546.000000000004</v>
      </c>
      <c r="AY56" s="547"/>
      <c r="BA56" s="946" t="s">
        <v>666</v>
      </c>
      <c r="BB56" s="946" t="s">
        <v>667</v>
      </c>
      <c r="BC56" s="947">
        <f>BE56/1.2/8</f>
        <v>111.25</v>
      </c>
      <c r="BD56" s="175">
        <v>0.05</v>
      </c>
      <c r="BE56" s="949">
        <v>1068</v>
      </c>
      <c r="BF56" s="948" t="s">
        <v>668</v>
      </c>
    </row>
    <row r="57" spans="1:58" ht="13.35" customHeight="1" x14ac:dyDescent="0.3">
      <c r="A57" s="502" t="s">
        <v>749</v>
      </c>
      <c r="B57" s="503" t="s">
        <v>325</v>
      </c>
      <c r="C57" s="528" t="s">
        <v>716</v>
      </c>
      <c r="E57" s="529"/>
      <c r="F57" s="523"/>
      <c r="G57" s="523"/>
      <c r="H57" s="523"/>
      <c r="I57" s="523"/>
      <c r="J57" s="523"/>
      <c r="K57" s="523"/>
      <c r="L57" s="523"/>
      <c r="M57" s="523"/>
      <c r="N57" s="523"/>
      <c r="O57" s="523"/>
      <c r="P57" s="524">
        <v>1</v>
      </c>
      <c r="Q57" s="523"/>
      <c r="R57" s="523"/>
      <c r="S57" s="523"/>
      <c r="T57" s="523"/>
      <c r="U57" s="523">
        <v>1</v>
      </c>
      <c r="V57" s="523"/>
      <c r="W57" s="523">
        <v>1</v>
      </c>
      <c r="X57" s="523"/>
      <c r="Y57" s="523">
        <v>1</v>
      </c>
      <c r="Z57" s="523"/>
      <c r="AA57" s="523">
        <v>1</v>
      </c>
      <c r="AB57" s="523">
        <v>1</v>
      </c>
      <c r="AC57" s="530">
        <f t="shared" si="110"/>
        <v>126</v>
      </c>
      <c r="AD57" s="531">
        <f t="shared" si="119"/>
        <v>126</v>
      </c>
      <c r="AE57" s="647"/>
      <c r="AF57" s="647">
        <v>0.01</v>
      </c>
      <c r="AG57" s="979">
        <f t="shared" si="120"/>
        <v>1.26</v>
      </c>
      <c r="AH57" s="648">
        <f>$BE$63</f>
        <v>684</v>
      </c>
      <c r="AI57" s="640">
        <f t="shared" si="121"/>
        <v>0</v>
      </c>
      <c r="AJ57" s="641">
        <f t="shared" si="111"/>
        <v>861.84</v>
      </c>
      <c r="AK57" s="527">
        <f t="shared" si="112"/>
        <v>1.0268284423481296E-4</v>
      </c>
      <c r="AL57" s="530">
        <f t="shared" si="113"/>
        <v>21</v>
      </c>
      <c r="AM57" s="531">
        <f t="shared" si="122"/>
        <v>21</v>
      </c>
      <c r="AN57" s="647"/>
      <c r="AO57" s="647">
        <f t="shared" si="123"/>
        <v>0.01</v>
      </c>
      <c r="AP57" s="555">
        <f t="shared" si="114"/>
        <v>0</v>
      </c>
      <c r="AQ57" s="556">
        <f t="shared" si="115"/>
        <v>143.63999999999999</v>
      </c>
      <c r="AS57" s="530">
        <f t="shared" si="116"/>
        <v>105</v>
      </c>
      <c r="AT57" s="531">
        <f t="shared" si="124"/>
        <v>105</v>
      </c>
      <c r="AU57" s="647"/>
      <c r="AV57" s="647">
        <f t="shared" si="125"/>
        <v>0.01</v>
      </c>
      <c r="AW57" s="555">
        <f t="shared" si="117"/>
        <v>0</v>
      </c>
      <c r="AX57" s="556">
        <f t="shared" si="118"/>
        <v>718.2</v>
      </c>
      <c r="AY57" s="547"/>
      <c r="BA57" s="946" t="s">
        <v>669</v>
      </c>
      <c r="BB57" s="946" t="s">
        <v>667</v>
      </c>
      <c r="BC57" s="947">
        <f t="shared" ref="BC57:BC59" si="126">BE57/1.2/8</f>
        <v>92.5</v>
      </c>
      <c r="BD57" s="175">
        <v>0.08</v>
      </c>
      <c r="BE57" s="949">
        <v>888</v>
      </c>
      <c r="BF57" s="948" t="s">
        <v>670</v>
      </c>
    </row>
    <row r="58" spans="1:58" ht="14.4" x14ac:dyDescent="0.3">
      <c r="A58" s="502" t="s">
        <v>749</v>
      </c>
      <c r="B58" s="503" t="s">
        <v>326</v>
      </c>
      <c r="C58" s="528" t="s">
        <v>717</v>
      </c>
      <c r="E58" s="529"/>
      <c r="F58" s="523"/>
      <c r="G58" s="523"/>
      <c r="H58" s="523"/>
      <c r="I58" s="523"/>
      <c r="J58" s="523"/>
      <c r="K58" s="523"/>
      <c r="L58" s="523"/>
      <c r="M58" s="523"/>
      <c r="N58" s="523">
        <v>1</v>
      </c>
      <c r="O58" s="523">
        <v>1</v>
      </c>
      <c r="P58" s="524">
        <v>1</v>
      </c>
      <c r="Q58" s="523"/>
      <c r="R58" s="523">
        <v>1</v>
      </c>
      <c r="S58" s="523">
        <v>1</v>
      </c>
      <c r="T58" s="523">
        <v>1</v>
      </c>
      <c r="U58" s="523">
        <v>1</v>
      </c>
      <c r="V58" s="523"/>
      <c r="W58" s="523">
        <v>1</v>
      </c>
      <c r="X58" s="523"/>
      <c r="Y58" s="523">
        <v>1</v>
      </c>
      <c r="Z58" s="523"/>
      <c r="AA58" s="523"/>
      <c r="AB58" s="523">
        <v>1</v>
      </c>
      <c r="AC58" s="530">
        <f t="shared" si="110"/>
        <v>210</v>
      </c>
      <c r="AD58" s="531">
        <f t="shared" si="119"/>
        <v>210</v>
      </c>
      <c r="AE58" s="647"/>
      <c r="AF58" s="647">
        <v>0.3</v>
      </c>
      <c r="AG58" s="979">
        <f t="shared" si="120"/>
        <v>63</v>
      </c>
      <c r="AH58" s="648">
        <f>$BE$59</f>
        <v>780</v>
      </c>
      <c r="AI58" s="640">
        <f t="shared" si="121"/>
        <v>0</v>
      </c>
      <c r="AJ58" s="641">
        <f t="shared" si="111"/>
        <v>49140</v>
      </c>
      <c r="AK58" s="527">
        <f t="shared" si="112"/>
        <v>5.8547235747919667E-3</v>
      </c>
      <c r="AL58" s="530">
        <f t="shared" si="113"/>
        <v>63</v>
      </c>
      <c r="AM58" s="531">
        <f t="shared" si="122"/>
        <v>63</v>
      </c>
      <c r="AN58" s="647"/>
      <c r="AO58" s="647">
        <f t="shared" si="123"/>
        <v>0.3</v>
      </c>
      <c r="AP58" s="555">
        <f t="shared" si="114"/>
        <v>0</v>
      </c>
      <c r="AQ58" s="556">
        <f t="shared" si="115"/>
        <v>14741.999999999998</v>
      </c>
      <c r="AS58" s="530">
        <f t="shared" si="116"/>
        <v>147</v>
      </c>
      <c r="AT58" s="531">
        <f t="shared" si="124"/>
        <v>147</v>
      </c>
      <c r="AU58" s="647"/>
      <c r="AV58" s="647">
        <f t="shared" si="125"/>
        <v>0.3</v>
      </c>
      <c r="AW58" s="555">
        <f t="shared" si="117"/>
        <v>0</v>
      </c>
      <c r="AX58" s="556">
        <f t="shared" si="118"/>
        <v>34398</v>
      </c>
      <c r="AY58" s="547"/>
      <c r="BA58" s="946" t="s">
        <v>671</v>
      </c>
      <c r="BB58" s="946" t="s">
        <v>667</v>
      </c>
      <c r="BC58" s="947">
        <f t="shared" si="126"/>
        <v>92.5</v>
      </c>
      <c r="BD58" s="175">
        <v>0.1</v>
      </c>
      <c r="BE58" s="949">
        <v>888</v>
      </c>
      <c r="BF58" s="948" t="s">
        <v>670</v>
      </c>
    </row>
    <row r="59" spans="1:58" ht="14.4" x14ac:dyDescent="0.3">
      <c r="A59" s="502" t="s">
        <v>749</v>
      </c>
      <c r="B59" s="503" t="s">
        <v>327</v>
      </c>
      <c r="C59" s="528" t="s">
        <v>718</v>
      </c>
      <c r="E59" s="529"/>
      <c r="F59" s="523"/>
      <c r="G59" s="523"/>
      <c r="H59" s="523"/>
      <c r="I59" s="523"/>
      <c r="J59" s="523"/>
      <c r="K59" s="523"/>
      <c r="L59" s="523"/>
      <c r="M59" s="523"/>
      <c r="N59" s="523"/>
      <c r="O59" s="523"/>
      <c r="P59" s="524">
        <v>1</v>
      </c>
      <c r="Q59" s="523"/>
      <c r="R59" s="523"/>
      <c r="S59" s="523"/>
      <c r="T59" s="523"/>
      <c r="U59" s="523">
        <v>1</v>
      </c>
      <c r="V59" s="523"/>
      <c r="W59" s="523"/>
      <c r="X59" s="523"/>
      <c r="Y59" s="523">
        <v>1</v>
      </c>
      <c r="Z59" s="523"/>
      <c r="AA59" s="523"/>
      <c r="AB59" s="523">
        <v>1</v>
      </c>
      <c r="AC59" s="530">
        <f t="shared" si="110"/>
        <v>84</v>
      </c>
      <c r="AD59" s="531">
        <f t="shared" si="119"/>
        <v>84</v>
      </c>
      <c r="AE59" s="647"/>
      <c r="AF59" s="647">
        <v>0.02</v>
      </c>
      <c r="AG59" s="979">
        <f t="shared" si="120"/>
        <v>1.68</v>
      </c>
      <c r="AH59" s="648">
        <f>$BE$61</f>
        <v>948</v>
      </c>
      <c r="AI59" s="640">
        <f t="shared" si="121"/>
        <v>0</v>
      </c>
      <c r="AJ59" s="641">
        <f t="shared" si="111"/>
        <v>1592.6399999999999</v>
      </c>
      <c r="AK59" s="527">
        <f t="shared" si="112"/>
        <v>1.8975309227018067E-4</v>
      </c>
      <c r="AL59" s="530">
        <f t="shared" si="113"/>
        <v>21</v>
      </c>
      <c r="AM59" s="531">
        <f t="shared" si="122"/>
        <v>21</v>
      </c>
      <c r="AN59" s="647"/>
      <c r="AO59" s="647">
        <f t="shared" si="123"/>
        <v>0.02</v>
      </c>
      <c r="AP59" s="555">
        <f t="shared" si="114"/>
        <v>0</v>
      </c>
      <c r="AQ59" s="556">
        <f t="shared" si="115"/>
        <v>398.15999999999997</v>
      </c>
      <c r="AS59" s="530">
        <f t="shared" si="116"/>
        <v>63</v>
      </c>
      <c r="AT59" s="531">
        <f t="shared" si="124"/>
        <v>63</v>
      </c>
      <c r="AU59" s="647"/>
      <c r="AV59" s="647">
        <f t="shared" si="125"/>
        <v>0.02</v>
      </c>
      <c r="AW59" s="555">
        <f t="shared" si="117"/>
        <v>0</v>
      </c>
      <c r="AX59" s="556">
        <f t="shared" si="118"/>
        <v>1194.48</v>
      </c>
      <c r="AY59" s="547"/>
      <c r="BA59" s="946" t="s">
        <v>672</v>
      </c>
      <c r="BB59" s="946" t="s">
        <v>667</v>
      </c>
      <c r="BC59" s="947">
        <f t="shared" si="126"/>
        <v>81.25</v>
      </c>
      <c r="BD59" s="175">
        <v>0.4</v>
      </c>
      <c r="BE59" s="949">
        <v>780</v>
      </c>
      <c r="BF59" s="948" t="s">
        <v>673</v>
      </c>
    </row>
    <row r="60" spans="1:58" ht="14.4" x14ac:dyDescent="0.3">
      <c r="A60" s="502" t="s">
        <v>751</v>
      </c>
      <c r="C60" s="522" t="s">
        <v>691</v>
      </c>
      <c r="E60" s="529"/>
      <c r="F60" s="523"/>
      <c r="G60" s="523"/>
      <c r="H60" s="523"/>
      <c r="I60" s="523"/>
      <c r="J60" s="523"/>
      <c r="K60" s="523"/>
      <c r="L60" s="523"/>
      <c r="M60" s="523"/>
      <c r="N60" s="523"/>
      <c r="O60" s="523"/>
      <c r="P60" s="524"/>
      <c r="Q60" s="523"/>
      <c r="R60" s="523"/>
      <c r="S60" s="523"/>
      <c r="T60" s="523"/>
      <c r="U60" s="523"/>
      <c r="V60" s="523"/>
      <c r="W60" s="523"/>
      <c r="X60" s="523"/>
      <c r="Y60" s="523"/>
      <c r="Z60" s="523"/>
      <c r="AA60" s="523"/>
      <c r="AB60" s="523"/>
      <c r="AC60" s="532"/>
      <c r="AD60" s="533"/>
      <c r="AE60" s="645"/>
      <c r="AF60" s="649" t="s">
        <v>706</v>
      </c>
      <c r="AG60" s="975">
        <f>SUM(AG5:AG10)</f>
        <v>952.14</v>
      </c>
      <c r="AH60" s="650"/>
      <c r="AI60" s="640"/>
      <c r="AJ60" s="641"/>
      <c r="AK60" s="527">
        <f t="shared" si="112"/>
        <v>0</v>
      </c>
      <c r="AL60" s="532"/>
      <c r="AM60" s="533"/>
      <c r="AN60" s="649"/>
      <c r="AO60" s="649"/>
      <c r="AP60" s="555"/>
      <c r="AQ60" s="556"/>
      <c r="AR60" s="646"/>
      <c r="AS60" s="532"/>
      <c r="AT60" s="533"/>
      <c r="AU60" s="649"/>
      <c r="AV60" s="649"/>
      <c r="AW60" s="555"/>
      <c r="AX60" s="556"/>
      <c r="AY60" s="646"/>
      <c r="BA60" s="946" t="s">
        <v>674</v>
      </c>
      <c r="BB60" s="946" t="s">
        <v>667</v>
      </c>
      <c r="BC60" s="947">
        <f t="shared" ref="BC60:BC65" si="127">BE60/1.2/8</f>
        <v>71.25</v>
      </c>
      <c r="BD60" s="175">
        <v>0.15</v>
      </c>
      <c r="BE60" s="949">
        <v>684</v>
      </c>
      <c r="BF60" s="948" t="s">
        <v>675</v>
      </c>
    </row>
    <row r="61" spans="1:58" ht="14.4" x14ac:dyDescent="0.3">
      <c r="A61" s="502" t="s">
        <v>751</v>
      </c>
      <c r="B61" s="503" t="s">
        <v>322</v>
      </c>
      <c r="C61" s="528" t="s">
        <v>720</v>
      </c>
      <c r="E61" s="529"/>
      <c r="F61" s="523"/>
      <c r="G61" s="523"/>
      <c r="H61" s="523"/>
      <c r="I61" s="523"/>
      <c r="J61" s="523"/>
      <c r="K61" s="523">
        <v>1</v>
      </c>
      <c r="L61" s="523">
        <v>1</v>
      </c>
      <c r="M61" s="523">
        <v>1</v>
      </c>
      <c r="N61" s="523">
        <v>1</v>
      </c>
      <c r="O61" s="523">
        <v>1</v>
      </c>
      <c r="P61" s="524">
        <v>1</v>
      </c>
      <c r="Q61" s="523">
        <v>1</v>
      </c>
      <c r="R61" s="523">
        <v>1</v>
      </c>
      <c r="S61" s="523">
        <v>1</v>
      </c>
      <c r="T61" s="523">
        <v>1</v>
      </c>
      <c r="U61" s="523">
        <v>1</v>
      </c>
      <c r="V61" s="523"/>
      <c r="W61" s="523"/>
      <c r="X61" s="523"/>
      <c r="Y61" s="523"/>
      <c r="Z61" s="523"/>
      <c r="AA61" s="523"/>
      <c r="AB61" s="523"/>
      <c r="AC61" s="530">
        <f>COUNTA(E61:AB61)*21</f>
        <v>231</v>
      </c>
      <c r="AD61" s="531">
        <f t="shared" si="7"/>
        <v>231</v>
      </c>
      <c r="AE61" s="644"/>
      <c r="AF61" s="647">
        <v>0.125</v>
      </c>
      <c r="AG61" s="979">
        <f t="shared" ref="AG61:AG65" si="128">AF61*AD61</f>
        <v>28.875</v>
      </c>
      <c r="AH61" s="648">
        <f>$BE$58</f>
        <v>888</v>
      </c>
      <c r="AI61" s="640">
        <f t="shared" si="9"/>
        <v>0</v>
      </c>
      <c r="AJ61" s="641">
        <f t="shared" si="1"/>
        <v>25641</v>
      </c>
      <c r="AK61" s="527">
        <f t="shared" si="112"/>
        <v>3.0549647371029879E-3</v>
      </c>
      <c r="AL61" s="530">
        <f>COUNTA(E61:P61)*21</f>
        <v>126</v>
      </c>
      <c r="AM61" s="531">
        <f t="shared" ref="AM61:AM65" si="129">AL61</f>
        <v>126</v>
      </c>
      <c r="AN61" s="647"/>
      <c r="AO61" s="647">
        <f t="shared" ref="AO61:AO65" si="130">AF61</f>
        <v>0.125</v>
      </c>
      <c r="AP61" s="555">
        <f t="shared" ref="AP61:AQ65" si="131">AL61*AN61*AG61</f>
        <v>0</v>
      </c>
      <c r="AQ61" s="556">
        <f t="shared" si="131"/>
        <v>13986</v>
      </c>
      <c r="AS61" s="530">
        <f>COUNTA(Q61:AB61)*21</f>
        <v>105</v>
      </c>
      <c r="AT61" s="531">
        <f t="shared" ref="AT61:AT65" si="132">AS61</f>
        <v>105</v>
      </c>
      <c r="AU61" s="647"/>
      <c r="AV61" s="647">
        <f t="shared" ref="AV61:AV89" si="133">AF61</f>
        <v>0.125</v>
      </c>
      <c r="AW61" s="555">
        <f t="shared" ref="AW61:AX65" si="134">AS61*AU61*AG61</f>
        <v>0</v>
      </c>
      <c r="AX61" s="556">
        <f t="shared" si="134"/>
        <v>11655</v>
      </c>
      <c r="AY61" s="547"/>
      <c r="BA61" s="946" t="s">
        <v>676</v>
      </c>
      <c r="BB61" s="946" t="s">
        <v>667</v>
      </c>
      <c r="BC61" s="947">
        <f t="shared" si="127"/>
        <v>98.75</v>
      </c>
      <c r="BD61" s="175">
        <v>0.05</v>
      </c>
      <c r="BE61" s="949">
        <v>948</v>
      </c>
      <c r="BF61" s="948" t="s">
        <v>677</v>
      </c>
    </row>
    <row r="62" spans="1:58" ht="14.4" x14ac:dyDescent="0.3">
      <c r="A62" s="502" t="s">
        <v>751</v>
      </c>
      <c r="B62" s="503" t="s">
        <v>323</v>
      </c>
      <c r="C62" s="528" t="s">
        <v>721</v>
      </c>
      <c r="E62" s="529"/>
      <c r="F62" s="523"/>
      <c r="G62" s="523"/>
      <c r="H62" s="523"/>
      <c r="I62" s="523"/>
      <c r="J62" s="523"/>
      <c r="K62" s="523">
        <v>1</v>
      </c>
      <c r="L62" s="523">
        <v>1</v>
      </c>
      <c r="M62" s="523">
        <v>1</v>
      </c>
      <c r="N62" s="523">
        <v>1</v>
      </c>
      <c r="O62" s="523">
        <v>1</v>
      </c>
      <c r="P62" s="524">
        <v>1</v>
      </c>
      <c r="Q62" s="523">
        <v>1</v>
      </c>
      <c r="R62" s="523">
        <v>1</v>
      </c>
      <c r="S62" s="523">
        <v>1</v>
      </c>
      <c r="T62" s="523">
        <v>1</v>
      </c>
      <c r="U62" s="523">
        <v>1</v>
      </c>
      <c r="V62" s="523"/>
      <c r="W62" s="523"/>
      <c r="X62" s="523"/>
      <c r="Y62" s="523"/>
      <c r="Z62" s="523"/>
      <c r="AA62" s="523"/>
      <c r="AB62" s="523"/>
      <c r="AC62" s="530">
        <f>COUNTA(E62:AB62)*21</f>
        <v>231</v>
      </c>
      <c r="AD62" s="531">
        <f t="shared" si="7"/>
        <v>231</v>
      </c>
      <c r="AE62" s="644"/>
      <c r="AF62" s="647">
        <v>1.25</v>
      </c>
      <c r="AG62" s="979">
        <f t="shared" si="128"/>
        <v>288.75</v>
      </c>
      <c r="AH62" s="648">
        <f>$BE$59</f>
        <v>780</v>
      </c>
      <c r="AI62" s="640">
        <f t="shared" si="9"/>
        <v>0</v>
      </c>
      <c r="AJ62" s="641">
        <f t="shared" si="1"/>
        <v>225225</v>
      </c>
      <c r="AK62" s="527">
        <f t="shared" si="112"/>
        <v>2.6834149717796515E-2</v>
      </c>
      <c r="AL62" s="530">
        <f>COUNTA(E62:P62)*21</f>
        <v>126</v>
      </c>
      <c r="AM62" s="531">
        <f t="shared" si="129"/>
        <v>126</v>
      </c>
      <c r="AN62" s="647"/>
      <c r="AO62" s="647">
        <f t="shared" si="130"/>
        <v>1.25</v>
      </c>
      <c r="AP62" s="555">
        <f t="shared" si="131"/>
        <v>0</v>
      </c>
      <c r="AQ62" s="556">
        <f t="shared" si="131"/>
        <v>122850</v>
      </c>
      <c r="AS62" s="530">
        <f>COUNTA(Q62:AB62)*21</f>
        <v>105</v>
      </c>
      <c r="AT62" s="531">
        <f t="shared" si="132"/>
        <v>105</v>
      </c>
      <c r="AU62" s="647"/>
      <c r="AV62" s="647">
        <f t="shared" si="133"/>
        <v>1.25</v>
      </c>
      <c r="AW62" s="555">
        <f t="shared" si="134"/>
        <v>0</v>
      </c>
      <c r="AX62" s="556">
        <f t="shared" si="134"/>
        <v>102375</v>
      </c>
      <c r="AY62" s="547"/>
      <c r="BA62" s="946" t="s">
        <v>678</v>
      </c>
      <c r="BB62" s="946" t="s">
        <v>667</v>
      </c>
      <c r="BC62" s="947">
        <f t="shared" si="127"/>
        <v>88.75</v>
      </c>
      <c r="BD62" s="175">
        <v>0.05</v>
      </c>
      <c r="BE62" s="949">
        <v>852</v>
      </c>
      <c r="BF62" s="948" t="s">
        <v>679</v>
      </c>
    </row>
    <row r="63" spans="1:58" ht="28.8" x14ac:dyDescent="0.3">
      <c r="A63" s="502" t="s">
        <v>751</v>
      </c>
      <c r="B63" s="503" t="s">
        <v>324</v>
      </c>
      <c r="C63" s="528" t="s">
        <v>722</v>
      </c>
      <c r="E63" s="529"/>
      <c r="F63" s="523"/>
      <c r="G63" s="523"/>
      <c r="H63" s="523"/>
      <c r="I63" s="523"/>
      <c r="J63" s="523"/>
      <c r="K63" s="523"/>
      <c r="L63" s="523"/>
      <c r="M63" s="523"/>
      <c r="N63" s="523">
        <v>1</v>
      </c>
      <c r="O63" s="523">
        <v>1</v>
      </c>
      <c r="P63" s="524">
        <v>1</v>
      </c>
      <c r="Q63" s="523"/>
      <c r="R63" s="523">
        <v>1</v>
      </c>
      <c r="S63" s="523">
        <v>1</v>
      </c>
      <c r="T63" s="523">
        <v>1</v>
      </c>
      <c r="U63" s="523">
        <v>1</v>
      </c>
      <c r="V63" s="523"/>
      <c r="W63" s="523"/>
      <c r="X63" s="523"/>
      <c r="Y63" s="523"/>
      <c r="Z63" s="523"/>
      <c r="AA63" s="523"/>
      <c r="AB63" s="523"/>
      <c r="AC63" s="530">
        <f>COUNTA(E63:AB63)*21</f>
        <v>147</v>
      </c>
      <c r="AD63" s="531">
        <f t="shared" si="7"/>
        <v>147</v>
      </c>
      <c r="AE63" s="644"/>
      <c r="AF63" s="647">
        <v>0.25</v>
      </c>
      <c r="AG63" s="979">
        <f t="shared" si="128"/>
        <v>36.75</v>
      </c>
      <c r="AH63" s="648">
        <f>$BE$60</f>
        <v>684</v>
      </c>
      <c r="AI63" s="640">
        <f t="shared" si="9"/>
        <v>0</v>
      </c>
      <c r="AJ63" s="641">
        <f t="shared" si="1"/>
        <v>25137</v>
      </c>
      <c r="AK63" s="527">
        <f t="shared" si="112"/>
        <v>2.9949162901820444E-3</v>
      </c>
      <c r="AL63" s="530">
        <f>COUNTA(E63:P63)*21</f>
        <v>63</v>
      </c>
      <c r="AM63" s="531">
        <f t="shared" si="129"/>
        <v>63</v>
      </c>
      <c r="AN63" s="647"/>
      <c r="AO63" s="647">
        <f t="shared" si="130"/>
        <v>0.25</v>
      </c>
      <c r="AP63" s="555">
        <f t="shared" si="131"/>
        <v>0</v>
      </c>
      <c r="AQ63" s="556">
        <f t="shared" si="131"/>
        <v>10773</v>
      </c>
      <c r="AS63" s="530">
        <f>COUNTA(Q63:AB63)*21</f>
        <v>84</v>
      </c>
      <c r="AT63" s="531">
        <f t="shared" si="132"/>
        <v>84</v>
      </c>
      <c r="AU63" s="647"/>
      <c r="AV63" s="647">
        <f t="shared" si="133"/>
        <v>0.25</v>
      </c>
      <c r="AW63" s="555">
        <f t="shared" si="134"/>
        <v>0</v>
      </c>
      <c r="AX63" s="556">
        <f t="shared" si="134"/>
        <v>14364</v>
      </c>
      <c r="AY63" s="547"/>
      <c r="BA63" s="946" t="s">
        <v>680</v>
      </c>
      <c r="BB63" s="946" t="s">
        <v>667</v>
      </c>
      <c r="BC63" s="947">
        <f t="shared" si="127"/>
        <v>71.25</v>
      </c>
      <c r="BD63" s="175">
        <v>0.03</v>
      </c>
      <c r="BE63" s="949">
        <v>684</v>
      </c>
      <c r="BF63" s="948" t="s">
        <v>681</v>
      </c>
    </row>
    <row r="64" spans="1:58" ht="28.8" x14ac:dyDescent="0.3">
      <c r="A64" s="502" t="s">
        <v>751</v>
      </c>
      <c r="B64" s="503" t="s">
        <v>325</v>
      </c>
      <c r="C64" s="534" t="s">
        <v>723</v>
      </c>
      <c r="E64" s="529"/>
      <c r="F64" s="523"/>
      <c r="G64" s="523"/>
      <c r="H64" s="523"/>
      <c r="I64" s="523"/>
      <c r="J64" s="523"/>
      <c r="K64" s="523"/>
      <c r="L64" s="523"/>
      <c r="M64" s="523"/>
      <c r="N64" s="523"/>
      <c r="O64" s="523"/>
      <c r="P64" s="524">
        <v>1</v>
      </c>
      <c r="Q64" s="523"/>
      <c r="R64" s="523"/>
      <c r="S64" s="523">
        <v>1</v>
      </c>
      <c r="T64" s="523"/>
      <c r="U64" s="523">
        <v>1</v>
      </c>
      <c r="V64" s="523"/>
      <c r="W64" s="523"/>
      <c r="X64" s="523"/>
      <c r="Y64" s="523"/>
      <c r="Z64" s="523"/>
      <c r="AA64" s="523"/>
      <c r="AB64" s="523"/>
      <c r="AC64" s="530">
        <f>COUNTA(E64:AB64)*21</f>
        <v>63</v>
      </c>
      <c r="AD64" s="531">
        <f t="shared" si="7"/>
        <v>63</v>
      </c>
      <c r="AE64" s="644"/>
      <c r="AF64" s="647">
        <v>0.125</v>
      </c>
      <c r="AG64" s="979">
        <f t="shared" si="128"/>
        <v>7.875</v>
      </c>
      <c r="AH64" s="648">
        <f>$BE$63</f>
        <v>684</v>
      </c>
      <c r="AI64" s="640">
        <f t="shared" si="9"/>
        <v>0</v>
      </c>
      <c r="AJ64" s="641">
        <f t="shared" si="1"/>
        <v>5386.5</v>
      </c>
      <c r="AK64" s="527">
        <f t="shared" si="112"/>
        <v>6.41767776467581E-4</v>
      </c>
      <c r="AL64" s="530">
        <f>COUNTA(E64:P64)*21</f>
        <v>21</v>
      </c>
      <c r="AM64" s="531">
        <f t="shared" si="129"/>
        <v>21</v>
      </c>
      <c r="AN64" s="647"/>
      <c r="AO64" s="647">
        <f t="shared" si="130"/>
        <v>0.125</v>
      </c>
      <c r="AP64" s="555">
        <f t="shared" si="131"/>
        <v>0</v>
      </c>
      <c r="AQ64" s="556">
        <f t="shared" si="131"/>
        <v>1795.5</v>
      </c>
      <c r="AS64" s="530">
        <f>COUNTA(Q64:AB64)*21</f>
        <v>42</v>
      </c>
      <c r="AT64" s="531">
        <f t="shared" si="132"/>
        <v>42</v>
      </c>
      <c r="AU64" s="647"/>
      <c r="AV64" s="647">
        <f t="shared" si="133"/>
        <v>0.125</v>
      </c>
      <c r="AW64" s="555">
        <f t="shared" si="134"/>
        <v>0</v>
      </c>
      <c r="AX64" s="556">
        <f t="shared" si="134"/>
        <v>3591</v>
      </c>
      <c r="AY64" s="547"/>
      <c r="BA64" s="946" t="s">
        <v>682</v>
      </c>
      <c r="BB64" s="946" t="s">
        <v>667</v>
      </c>
      <c r="BC64" s="947">
        <f t="shared" si="127"/>
        <v>111.25</v>
      </c>
      <c r="BD64" s="175">
        <v>0.05</v>
      </c>
      <c r="BE64" s="949">
        <v>1068</v>
      </c>
      <c r="BF64" s="948" t="s">
        <v>683</v>
      </c>
    </row>
    <row r="65" spans="1:62" ht="43.2" x14ac:dyDescent="0.3">
      <c r="A65" s="502" t="s">
        <v>751</v>
      </c>
      <c r="B65" s="503" t="s">
        <v>327</v>
      </c>
      <c r="C65" s="534" t="s">
        <v>724</v>
      </c>
      <c r="E65" s="529"/>
      <c r="F65" s="523"/>
      <c r="G65" s="523"/>
      <c r="H65" s="523"/>
      <c r="I65" s="523"/>
      <c r="J65" s="523"/>
      <c r="K65" s="523"/>
      <c r="L65" s="523"/>
      <c r="M65" s="523"/>
      <c r="N65" s="523"/>
      <c r="O65" s="523"/>
      <c r="P65" s="524">
        <v>1</v>
      </c>
      <c r="Q65" s="523"/>
      <c r="R65" s="523"/>
      <c r="S65" s="523"/>
      <c r="T65" s="523"/>
      <c r="U65" s="523">
        <v>1</v>
      </c>
      <c r="V65" s="523"/>
      <c r="W65" s="523"/>
      <c r="X65" s="523"/>
      <c r="Y65" s="523"/>
      <c r="Z65" s="523"/>
      <c r="AA65" s="523"/>
      <c r="AB65" s="523"/>
      <c r="AC65" s="530">
        <f>COUNTA(E65:AB65)*21</f>
        <v>42</v>
      </c>
      <c r="AD65" s="531">
        <f t="shared" si="7"/>
        <v>42</v>
      </c>
      <c r="AE65" s="644"/>
      <c r="AF65" s="647">
        <v>0.125</v>
      </c>
      <c r="AG65" s="979">
        <f t="shared" si="128"/>
        <v>5.25</v>
      </c>
      <c r="AH65" s="648">
        <f>$BE$61</f>
        <v>948</v>
      </c>
      <c r="AI65" s="640">
        <f t="shared" si="9"/>
        <v>0</v>
      </c>
      <c r="AJ65" s="641">
        <f t="shared" si="1"/>
        <v>4977</v>
      </c>
      <c r="AK65" s="527">
        <f t="shared" si="112"/>
        <v>5.9297841334431459E-4</v>
      </c>
      <c r="AL65" s="530">
        <f>COUNTA(E65:P65)*21</f>
        <v>21</v>
      </c>
      <c r="AM65" s="531">
        <f t="shared" si="129"/>
        <v>21</v>
      </c>
      <c r="AN65" s="647"/>
      <c r="AO65" s="647">
        <f t="shared" si="130"/>
        <v>0.125</v>
      </c>
      <c r="AP65" s="555">
        <f t="shared" si="131"/>
        <v>0</v>
      </c>
      <c r="AQ65" s="556">
        <f t="shared" si="131"/>
        <v>2488.5</v>
      </c>
      <c r="AS65" s="530">
        <f>COUNTA(Q65:AB65)*21</f>
        <v>21</v>
      </c>
      <c r="AT65" s="531">
        <f t="shared" si="132"/>
        <v>21</v>
      </c>
      <c r="AU65" s="647"/>
      <c r="AV65" s="647">
        <f t="shared" si="133"/>
        <v>0.125</v>
      </c>
      <c r="AW65" s="555">
        <f t="shared" si="134"/>
        <v>0</v>
      </c>
      <c r="AX65" s="556">
        <f t="shared" si="134"/>
        <v>2488.5</v>
      </c>
      <c r="AY65" s="547"/>
      <c r="BA65" s="946" t="s">
        <v>684</v>
      </c>
      <c r="BB65" s="946" t="s">
        <v>667</v>
      </c>
      <c r="BC65" s="947">
        <f t="shared" si="127"/>
        <v>150</v>
      </c>
      <c r="BD65" s="175">
        <v>0.04</v>
      </c>
      <c r="BE65" s="949">
        <v>1440</v>
      </c>
      <c r="BF65" s="948" t="s">
        <v>685</v>
      </c>
    </row>
    <row r="66" spans="1:62" ht="12" x14ac:dyDescent="0.2">
      <c r="A66" s="502" t="s">
        <v>328</v>
      </c>
      <c r="C66" s="522" t="s">
        <v>692</v>
      </c>
      <c r="E66" s="529"/>
      <c r="F66" s="523"/>
      <c r="G66" s="523"/>
      <c r="H66" s="523"/>
      <c r="I66" s="523"/>
      <c r="J66" s="523"/>
      <c r="K66" s="523"/>
      <c r="L66" s="523"/>
      <c r="M66" s="523"/>
      <c r="N66" s="523"/>
      <c r="O66" s="523"/>
      <c r="P66" s="524"/>
      <c r="Q66" s="523"/>
      <c r="R66" s="523"/>
      <c r="S66" s="523"/>
      <c r="T66" s="523"/>
      <c r="U66" s="523"/>
      <c r="V66" s="523"/>
      <c r="W66" s="523"/>
      <c r="X66" s="523"/>
      <c r="Y66" s="523"/>
      <c r="Z66" s="523"/>
      <c r="AA66" s="523"/>
      <c r="AB66" s="523"/>
      <c r="AC66" s="532"/>
      <c r="AD66" s="533"/>
      <c r="AE66" s="645"/>
      <c r="AF66" s="649" t="s">
        <v>706</v>
      </c>
      <c r="AG66" s="975">
        <f>SUM(AG61:AG65)</f>
        <v>367.5</v>
      </c>
      <c r="AH66" s="650"/>
      <c r="AI66" s="640"/>
      <c r="AJ66" s="641"/>
      <c r="AK66" s="527">
        <f t="shared" si="112"/>
        <v>0</v>
      </c>
      <c r="AL66" s="532"/>
      <c r="AM66" s="533"/>
      <c r="AN66" s="649"/>
      <c r="AO66" s="649"/>
      <c r="AP66" s="555"/>
      <c r="AQ66" s="556"/>
      <c r="AS66" s="532"/>
      <c r="AT66" s="533"/>
      <c r="AU66" s="649"/>
      <c r="AV66" s="649"/>
      <c r="AW66" s="555"/>
      <c r="AX66" s="556"/>
    </row>
    <row r="67" spans="1:62" ht="13.2" x14ac:dyDescent="0.2">
      <c r="A67" s="502" t="s">
        <v>749</v>
      </c>
      <c r="B67" s="503" t="s">
        <v>322</v>
      </c>
      <c r="C67" s="528" t="s">
        <v>725</v>
      </c>
      <c r="E67" s="529"/>
      <c r="F67" s="523"/>
      <c r="G67" s="523"/>
      <c r="H67" s="523"/>
      <c r="I67" s="523"/>
      <c r="J67" s="523"/>
      <c r="K67" s="523"/>
      <c r="L67" s="523">
        <v>1</v>
      </c>
      <c r="M67" s="523">
        <v>1</v>
      </c>
      <c r="N67" s="523">
        <v>1</v>
      </c>
      <c r="O67" s="523">
        <v>1</v>
      </c>
      <c r="P67" s="524"/>
      <c r="Q67" s="523">
        <v>1</v>
      </c>
      <c r="R67" s="523">
        <v>1</v>
      </c>
      <c r="S67" s="523"/>
      <c r="T67" s="523"/>
      <c r="U67" s="523"/>
      <c r="V67" s="523">
        <v>1</v>
      </c>
      <c r="W67" s="523">
        <v>1</v>
      </c>
      <c r="X67" s="523"/>
      <c r="Y67" s="523"/>
      <c r="Z67" s="523"/>
      <c r="AA67" s="523"/>
      <c r="AB67" s="523"/>
      <c r="AC67" s="530">
        <f t="shared" ref="AC67:AC72" si="135">COUNTA(E67:AB67)*21</f>
        <v>168</v>
      </c>
      <c r="AD67" s="531">
        <f t="shared" si="7"/>
        <v>168</v>
      </c>
      <c r="AE67" s="644"/>
      <c r="AF67" s="647">
        <v>0.25</v>
      </c>
      <c r="AG67" s="979">
        <f t="shared" ref="AG67:AG72" si="136">AF67*AD67</f>
        <v>42</v>
      </c>
      <c r="AH67" s="648">
        <f>$BE$58</f>
        <v>888</v>
      </c>
      <c r="AI67" s="640">
        <f t="shared" si="9"/>
        <v>0</v>
      </c>
      <c r="AJ67" s="641">
        <f t="shared" si="1"/>
        <v>37296</v>
      </c>
      <c r="AK67" s="527">
        <f t="shared" si="112"/>
        <v>4.4435850721498008E-3</v>
      </c>
      <c r="AL67" s="530">
        <f t="shared" ref="AL67:AL72" si="137">COUNTA(E67:P67)*21</f>
        <v>84</v>
      </c>
      <c r="AM67" s="531">
        <f t="shared" ref="AM67:AM72" si="138">AL67</f>
        <v>84</v>
      </c>
      <c r="AN67" s="647"/>
      <c r="AO67" s="647">
        <f t="shared" ref="AO67:AO78" si="139">AF67</f>
        <v>0.25</v>
      </c>
      <c r="AP67" s="555">
        <f t="shared" ref="AP67:AQ72" si="140">AL67*AN67*AG67</f>
        <v>0</v>
      </c>
      <c r="AQ67" s="556">
        <f t="shared" si="140"/>
        <v>18648</v>
      </c>
      <c r="AS67" s="530">
        <f t="shared" ref="AS67:AS72" si="141">COUNTA(Q67:AB67)*21</f>
        <v>84</v>
      </c>
      <c r="AT67" s="531">
        <f t="shared" ref="AT67:AT72" si="142">AS67</f>
        <v>84</v>
      </c>
      <c r="AU67" s="647"/>
      <c r="AV67" s="647">
        <f t="shared" si="133"/>
        <v>0.25</v>
      </c>
      <c r="AW67" s="555">
        <f t="shared" ref="AW67:AX72" si="143">AS67*AU67*AG67</f>
        <v>0</v>
      </c>
      <c r="AX67" s="556">
        <f t="shared" si="143"/>
        <v>18648</v>
      </c>
      <c r="AY67" s="547"/>
      <c r="BC67" s="498" t="s">
        <v>686</v>
      </c>
      <c r="BE67" s="498">
        <f>SUMPRODUCT(BD7:BD65,BE7:BE65)</f>
        <v>849.36</v>
      </c>
    </row>
    <row r="68" spans="1:62" ht="13.2" x14ac:dyDescent="0.2">
      <c r="A68" s="502" t="s">
        <v>749</v>
      </c>
      <c r="B68" s="503" t="s">
        <v>323</v>
      </c>
      <c r="C68" s="528" t="s">
        <v>726</v>
      </c>
      <c r="E68" s="529"/>
      <c r="F68" s="523"/>
      <c r="G68" s="523"/>
      <c r="H68" s="523"/>
      <c r="I68" s="523"/>
      <c r="J68" s="523"/>
      <c r="K68" s="523"/>
      <c r="L68" s="523"/>
      <c r="M68" s="523"/>
      <c r="N68" s="523"/>
      <c r="O68" s="523">
        <v>1</v>
      </c>
      <c r="P68" s="524">
        <v>1</v>
      </c>
      <c r="Q68" s="523">
        <v>1</v>
      </c>
      <c r="R68" s="523">
        <v>1</v>
      </c>
      <c r="S68" s="523">
        <v>1</v>
      </c>
      <c r="T68" s="523">
        <v>1</v>
      </c>
      <c r="U68" s="523">
        <v>1</v>
      </c>
      <c r="V68" s="523">
        <v>1</v>
      </c>
      <c r="W68" s="523">
        <v>1</v>
      </c>
      <c r="X68" s="523">
        <v>1</v>
      </c>
      <c r="Y68" s="523">
        <v>1</v>
      </c>
      <c r="Z68" s="523"/>
      <c r="AA68" s="523"/>
      <c r="AB68" s="523"/>
      <c r="AC68" s="530">
        <f t="shared" si="135"/>
        <v>231</v>
      </c>
      <c r="AD68" s="531">
        <f t="shared" si="7"/>
        <v>231</v>
      </c>
      <c r="AE68" s="644"/>
      <c r="AF68" s="647">
        <v>1</v>
      </c>
      <c r="AG68" s="979">
        <f t="shared" si="136"/>
        <v>231</v>
      </c>
      <c r="AH68" s="648">
        <f>$BE$59</f>
        <v>780</v>
      </c>
      <c r="AI68" s="640">
        <f t="shared" si="9"/>
        <v>0</v>
      </c>
      <c r="AJ68" s="641">
        <f t="shared" si="1"/>
        <v>180180</v>
      </c>
      <c r="AK68" s="527">
        <f t="shared" si="112"/>
        <v>2.1467319774237211E-2</v>
      </c>
      <c r="AL68" s="530">
        <f t="shared" si="137"/>
        <v>42</v>
      </c>
      <c r="AM68" s="531">
        <f t="shared" si="138"/>
        <v>42</v>
      </c>
      <c r="AN68" s="647"/>
      <c r="AO68" s="647">
        <f t="shared" si="139"/>
        <v>1</v>
      </c>
      <c r="AP68" s="555">
        <f t="shared" si="140"/>
        <v>0</v>
      </c>
      <c r="AQ68" s="556">
        <f t="shared" si="140"/>
        <v>32760</v>
      </c>
      <c r="AS68" s="530">
        <f t="shared" si="141"/>
        <v>189</v>
      </c>
      <c r="AT68" s="531">
        <f t="shared" si="142"/>
        <v>189</v>
      </c>
      <c r="AU68" s="647"/>
      <c r="AV68" s="647">
        <f t="shared" si="133"/>
        <v>1</v>
      </c>
      <c r="AW68" s="555">
        <f t="shared" si="143"/>
        <v>0</v>
      </c>
      <c r="AX68" s="556">
        <f t="shared" si="143"/>
        <v>147420</v>
      </c>
      <c r="AY68" s="547"/>
      <c r="BC68" s="498" t="s">
        <v>687</v>
      </c>
      <c r="BE68" s="498">
        <f>ROUND(BE67,-1)</f>
        <v>850</v>
      </c>
    </row>
    <row r="69" spans="1:62" ht="13.2" x14ac:dyDescent="0.2">
      <c r="A69" s="502" t="s">
        <v>749</v>
      </c>
      <c r="B69" s="503" t="s">
        <v>324</v>
      </c>
      <c r="C69" s="528" t="s">
        <v>727</v>
      </c>
      <c r="E69" s="529"/>
      <c r="F69" s="523"/>
      <c r="G69" s="523"/>
      <c r="H69" s="523"/>
      <c r="I69" s="523"/>
      <c r="J69" s="523"/>
      <c r="K69" s="523"/>
      <c r="L69" s="523"/>
      <c r="M69" s="523"/>
      <c r="N69" s="523"/>
      <c r="O69" s="523"/>
      <c r="P69" s="524"/>
      <c r="Q69" s="523"/>
      <c r="R69" s="523"/>
      <c r="S69" s="523"/>
      <c r="T69" s="523"/>
      <c r="U69" s="523"/>
      <c r="V69" s="523"/>
      <c r="W69" s="523"/>
      <c r="X69" s="523"/>
      <c r="Y69" s="523">
        <v>1</v>
      </c>
      <c r="Z69" s="523">
        <v>1</v>
      </c>
      <c r="AA69" s="523"/>
      <c r="AB69" s="523"/>
      <c r="AC69" s="530">
        <f t="shared" si="135"/>
        <v>42</v>
      </c>
      <c r="AD69" s="531">
        <f t="shared" si="7"/>
        <v>42</v>
      </c>
      <c r="AE69" s="644"/>
      <c r="AF69" s="647">
        <v>0.75</v>
      </c>
      <c r="AG69" s="979">
        <f t="shared" si="136"/>
        <v>31.5</v>
      </c>
      <c r="AH69" s="648">
        <f>$BE$60</f>
        <v>684</v>
      </c>
      <c r="AI69" s="640">
        <f t="shared" si="9"/>
        <v>0</v>
      </c>
      <c r="AJ69" s="641">
        <f t="shared" si="1"/>
        <v>21546</v>
      </c>
      <c r="AK69" s="527">
        <f t="shared" si="112"/>
        <v>2.567071105870324E-3</v>
      </c>
      <c r="AL69" s="530">
        <f t="shared" si="137"/>
        <v>0</v>
      </c>
      <c r="AM69" s="531">
        <f t="shared" si="138"/>
        <v>0</v>
      </c>
      <c r="AN69" s="647"/>
      <c r="AO69" s="647">
        <f t="shared" si="139"/>
        <v>0.75</v>
      </c>
      <c r="AP69" s="555">
        <f t="shared" si="140"/>
        <v>0</v>
      </c>
      <c r="AQ69" s="556">
        <f t="shared" si="140"/>
        <v>0</v>
      </c>
      <c r="AS69" s="530">
        <f t="shared" si="141"/>
        <v>42</v>
      </c>
      <c r="AT69" s="531">
        <f t="shared" si="142"/>
        <v>42</v>
      </c>
      <c r="AU69" s="647"/>
      <c r="AV69" s="647">
        <f t="shared" si="133"/>
        <v>0.75</v>
      </c>
      <c r="AW69" s="555">
        <f t="shared" si="143"/>
        <v>0</v>
      </c>
      <c r="AX69" s="556">
        <f t="shared" si="143"/>
        <v>21546</v>
      </c>
      <c r="AY69" s="547"/>
    </row>
    <row r="70" spans="1:62" ht="13.2" x14ac:dyDescent="0.2">
      <c r="A70" s="502" t="s">
        <v>749</v>
      </c>
      <c r="B70" s="503" t="s">
        <v>325</v>
      </c>
      <c r="C70" s="528" t="s">
        <v>728</v>
      </c>
      <c r="E70" s="529"/>
      <c r="F70" s="523"/>
      <c r="G70" s="523"/>
      <c r="H70" s="523"/>
      <c r="I70" s="523"/>
      <c r="J70" s="523"/>
      <c r="K70" s="523"/>
      <c r="L70" s="523"/>
      <c r="M70" s="523"/>
      <c r="N70" s="523"/>
      <c r="O70" s="523"/>
      <c r="P70" s="524"/>
      <c r="Q70" s="523"/>
      <c r="R70" s="523"/>
      <c r="S70" s="523"/>
      <c r="T70" s="523"/>
      <c r="U70" s="523"/>
      <c r="V70" s="523"/>
      <c r="W70" s="523"/>
      <c r="X70" s="523"/>
      <c r="Y70" s="523"/>
      <c r="Z70" s="523">
        <v>1</v>
      </c>
      <c r="AA70" s="523"/>
      <c r="AB70" s="523"/>
      <c r="AC70" s="530">
        <f t="shared" si="135"/>
        <v>21</v>
      </c>
      <c r="AD70" s="531">
        <f t="shared" si="7"/>
        <v>21</v>
      </c>
      <c r="AE70" s="644"/>
      <c r="AF70" s="647">
        <v>0.125</v>
      </c>
      <c r="AG70" s="979">
        <f t="shared" si="136"/>
        <v>2.625</v>
      </c>
      <c r="AH70" s="648">
        <f>$BE$63</f>
        <v>684</v>
      </c>
      <c r="AI70" s="640">
        <f t="shared" si="9"/>
        <v>0</v>
      </c>
      <c r="AJ70" s="641">
        <f t="shared" si="1"/>
        <v>1795.5</v>
      </c>
      <c r="AK70" s="527">
        <f t="shared" si="112"/>
        <v>2.1392259215586033E-4</v>
      </c>
      <c r="AL70" s="530">
        <f t="shared" si="137"/>
        <v>0</v>
      </c>
      <c r="AM70" s="531">
        <f t="shared" si="138"/>
        <v>0</v>
      </c>
      <c r="AN70" s="647"/>
      <c r="AO70" s="647">
        <f t="shared" si="139"/>
        <v>0.125</v>
      </c>
      <c r="AP70" s="555">
        <f t="shared" si="140"/>
        <v>0</v>
      </c>
      <c r="AQ70" s="556">
        <f t="shared" si="140"/>
        <v>0</v>
      </c>
      <c r="AS70" s="530">
        <f t="shared" si="141"/>
        <v>21</v>
      </c>
      <c r="AT70" s="531">
        <f t="shared" si="142"/>
        <v>21</v>
      </c>
      <c r="AU70" s="647"/>
      <c r="AV70" s="647">
        <f t="shared" si="133"/>
        <v>0.125</v>
      </c>
      <c r="AW70" s="555">
        <f t="shared" si="143"/>
        <v>0</v>
      </c>
      <c r="AX70" s="556">
        <f t="shared" si="143"/>
        <v>1795.5</v>
      </c>
      <c r="AY70" s="547"/>
      <c r="BA70" s="498" t="s">
        <v>688</v>
      </c>
    </row>
    <row r="71" spans="1:62" ht="13.2" x14ac:dyDescent="0.2">
      <c r="A71" s="502" t="s">
        <v>749</v>
      </c>
      <c r="B71" s="503" t="s">
        <v>326</v>
      </c>
      <c r="C71" s="528" t="s">
        <v>729</v>
      </c>
      <c r="E71" s="529"/>
      <c r="F71" s="523"/>
      <c r="G71" s="523"/>
      <c r="H71" s="523"/>
      <c r="I71" s="523"/>
      <c r="J71" s="523"/>
      <c r="K71" s="523"/>
      <c r="L71" s="523"/>
      <c r="M71" s="523"/>
      <c r="N71" s="523"/>
      <c r="O71" s="523"/>
      <c r="P71" s="524"/>
      <c r="Q71" s="523"/>
      <c r="R71" s="523"/>
      <c r="S71" s="523"/>
      <c r="T71" s="523"/>
      <c r="U71" s="523"/>
      <c r="V71" s="523"/>
      <c r="W71" s="523"/>
      <c r="X71" s="523"/>
      <c r="Y71" s="523">
        <v>1</v>
      </c>
      <c r="Z71" s="523">
        <v>1</v>
      </c>
      <c r="AA71" s="523"/>
      <c r="AB71" s="523"/>
      <c r="AC71" s="530">
        <f t="shared" si="135"/>
        <v>42</v>
      </c>
      <c r="AD71" s="531">
        <f t="shared" si="7"/>
        <v>42</v>
      </c>
      <c r="AE71" s="644"/>
      <c r="AF71" s="647">
        <v>0.5</v>
      </c>
      <c r="AG71" s="979">
        <f t="shared" si="136"/>
        <v>21</v>
      </c>
      <c r="AH71" s="648">
        <f>$BE$59</f>
        <v>780</v>
      </c>
      <c r="AI71" s="640">
        <f t="shared" si="9"/>
        <v>0</v>
      </c>
      <c r="AJ71" s="641">
        <f t="shared" si="1"/>
        <v>16380</v>
      </c>
      <c r="AK71" s="527">
        <f t="shared" si="112"/>
        <v>1.9515745249306556E-3</v>
      </c>
      <c r="AL71" s="530">
        <f t="shared" si="137"/>
        <v>0</v>
      </c>
      <c r="AM71" s="531">
        <f t="shared" si="138"/>
        <v>0</v>
      </c>
      <c r="AN71" s="647"/>
      <c r="AO71" s="647">
        <f t="shared" si="139"/>
        <v>0.5</v>
      </c>
      <c r="AP71" s="555">
        <f t="shared" si="140"/>
        <v>0</v>
      </c>
      <c r="AQ71" s="556">
        <f t="shared" si="140"/>
        <v>0</v>
      </c>
      <c r="AS71" s="530">
        <f t="shared" si="141"/>
        <v>42</v>
      </c>
      <c r="AT71" s="531">
        <f t="shared" si="142"/>
        <v>42</v>
      </c>
      <c r="AU71" s="647"/>
      <c r="AV71" s="647">
        <f t="shared" si="133"/>
        <v>0.5</v>
      </c>
      <c r="AW71" s="555">
        <f t="shared" si="143"/>
        <v>0</v>
      </c>
      <c r="AX71" s="556">
        <f t="shared" si="143"/>
        <v>16380</v>
      </c>
      <c r="AY71" s="547"/>
    </row>
    <row r="72" spans="1:62" ht="13.2" x14ac:dyDescent="0.2">
      <c r="A72" s="502" t="s">
        <v>749</v>
      </c>
      <c r="B72" s="503" t="s">
        <v>327</v>
      </c>
      <c r="C72" s="528" t="s">
        <v>730</v>
      </c>
      <c r="E72" s="529"/>
      <c r="F72" s="523"/>
      <c r="G72" s="523"/>
      <c r="H72" s="523"/>
      <c r="I72" s="523"/>
      <c r="J72" s="523"/>
      <c r="K72" s="523"/>
      <c r="L72" s="523"/>
      <c r="M72" s="523"/>
      <c r="N72" s="523"/>
      <c r="O72" s="523"/>
      <c r="P72" s="524"/>
      <c r="Q72" s="523"/>
      <c r="R72" s="523"/>
      <c r="S72" s="523"/>
      <c r="T72" s="523"/>
      <c r="U72" s="523"/>
      <c r="V72" s="523"/>
      <c r="W72" s="523"/>
      <c r="X72" s="523"/>
      <c r="Y72" s="523"/>
      <c r="Z72" s="523">
        <v>1</v>
      </c>
      <c r="AA72" s="523"/>
      <c r="AB72" s="523"/>
      <c r="AC72" s="530">
        <f t="shared" si="135"/>
        <v>21</v>
      </c>
      <c r="AD72" s="531">
        <f t="shared" si="7"/>
        <v>21</v>
      </c>
      <c r="AE72" s="644"/>
      <c r="AF72" s="647">
        <v>0.125</v>
      </c>
      <c r="AG72" s="979">
        <f t="shared" si="136"/>
        <v>2.625</v>
      </c>
      <c r="AH72" s="648">
        <f>$BE$61</f>
        <v>948</v>
      </c>
      <c r="AI72" s="640">
        <f t="shared" si="9"/>
        <v>0</v>
      </c>
      <c r="AJ72" s="641">
        <f t="shared" si="1"/>
        <v>2488.5</v>
      </c>
      <c r="AK72" s="527">
        <f t="shared" si="112"/>
        <v>2.9648920667215729E-4</v>
      </c>
      <c r="AL72" s="530">
        <f t="shared" si="137"/>
        <v>0</v>
      </c>
      <c r="AM72" s="531">
        <f t="shared" si="138"/>
        <v>0</v>
      </c>
      <c r="AN72" s="647"/>
      <c r="AO72" s="647">
        <f t="shared" si="139"/>
        <v>0.125</v>
      </c>
      <c r="AP72" s="555">
        <f t="shared" si="140"/>
        <v>0</v>
      </c>
      <c r="AQ72" s="556">
        <f t="shared" si="140"/>
        <v>0</v>
      </c>
      <c r="AS72" s="530">
        <f t="shared" si="141"/>
        <v>21</v>
      </c>
      <c r="AT72" s="531">
        <f t="shared" si="142"/>
        <v>21</v>
      </c>
      <c r="AU72" s="647"/>
      <c r="AV72" s="647">
        <f t="shared" si="133"/>
        <v>0.125</v>
      </c>
      <c r="AW72" s="555">
        <f t="shared" si="143"/>
        <v>0</v>
      </c>
      <c r="AX72" s="556">
        <f t="shared" si="143"/>
        <v>2488.5</v>
      </c>
      <c r="AY72" s="547"/>
    </row>
    <row r="73" spans="1:62" ht="12" x14ac:dyDescent="0.2">
      <c r="A73" s="502" t="s">
        <v>750</v>
      </c>
      <c r="C73" s="522" t="s">
        <v>693</v>
      </c>
      <c r="E73" s="529"/>
      <c r="F73" s="523"/>
      <c r="G73" s="523"/>
      <c r="H73" s="523"/>
      <c r="I73" s="523"/>
      <c r="J73" s="523"/>
      <c r="K73" s="523"/>
      <c r="L73" s="523"/>
      <c r="M73" s="523"/>
      <c r="N73" s="523"/>
      <c r="O73" s="523"/>
      <c r="P73" s="524"/>
      <c r="Q73" s="523"/>
      <c r="R73" s="523"/>
      <c r="S73" s="523"/>
      <c r="T73" s="523"/>
      <c r="U73" s="523"/>
      <c r="V73" s="523"/>
      <c r="W73" s="523"/>
      <c r="X73" s="523"/>
      <c r="Y73" s="523"/>
      <c r="Z73" s="523"/>
      <c r="AA73" s="523"/>
      <c r="AB73" s="523"/>
      <c r="AC73" s="532"/>
      <c r="AD73" s="533"/>
      <c r="AE73" s="645"/>
      <c r="AF73" s="649" t="s">
        <v>706</v>
      </c>
      <c r="AG73" s="975">
        <f>SUM(AG67:AG72)</f>
        <v>330.75</v>
      </c>
      <c r="AH73" s="650"/>
      <c r="AI73" s="640"/>
      <c r="AJ73" s="641"/>
      <c r="AK73" s="527">
        <f t="shared" si="112"/>
        <v>0</v>
      </c>
      <c r="AL73" s="532"/>
      <c r="AM73" s="533"/>
      <c r="AN73" s="649"/>
      <c r="AO73" s="649"/>
      <c r="AP73" s="555"/>
      <c r="AQ73" s="556"/>
      <c r="AS73" s="532"/>
      <c r="AT73" s="533"/>
      <c r="AU73" s="649"/>
      <c r="AV73" s="649"/>
      <c r="AW73" s="555"/>
      <c r="AX73" s="556"/>
    </row>
    <row r="74" spans="1:62" ht="13.8" thickBot="1" x14ac:dyDescent="0.25">
      <c r="A74" s="502" t="s">
        <v>750</v>
      </c>
      <c r="B74" s="503" t="s">
        <v>322</v>
      </c>
      <c r="C74" s="528" t="s">
        <v>731</v>
      </c>
      <c r="E74" s="529"/>
      <c r="F74" s="523"/>
      <c r="G74" s="523"/>
      <c r="H74" s="523"/>
      <c r="I74" s="523"/>
      <c r="J74" s="523"/>
      <c r="K74" s="523"/>
      <c r="L74" s="523"/>
      <c r="M74" s="523"/>
      <c r="N74" s="523"/>
      <c r="O74" s="523"/>
      <c r="P74" s="524"/>
      <c r="Q74" s="523"/>
      <c r="R74" s="523"/>
      <c r="S74" s="523"/>
      <c r="T74" s="523"/>
      <c r="U74" s="523"/>
      <c r="V74" s="523"/>
      <c r="W74" s="523"/>
      <c r="X74" s="523"/>
      <c r="Y74" s="523"/>
      <c r="Z74" s="523">
        <v>1</v>
      </c>
      <c r="AA74" s="523">
        <v>1</v>
      </c>
      <c r="AB74" s="523"/>
      <c r="AC74" s="530">
        <f>COUNTA(E74:AB74)*21</f>
        <v>42</v>
      </c>
      <c r="AD74" s="531">
        <f t="shared" si="7"/>
        <v>42</v>
      </c>
      <c r="AE74" s="644"/>
      <c r="AF74" s="647">
        <v>0.125</v>
      </c>
      <c r="AG74" s="979">
        <f t="shared" ref="AG74:AG78" si="144">AF74*AD74</f>
        <v>5.25</v>
      </c>
      <c r="AH74" s="648">
        <f>$BE$58</f>
        <v>888</v>
      </c>
      <c r="AI74" s="640">
        <f t="shared" si="9"/>
        <v>0</v>
      </c>
      <c r="AJ74" s="641">
        <f t="shared" si="1"/>
        <v>4662</v>
      </c>
      <c r="AK74" s="527">
        <f t="shared" si="112"/>
        <v>5.554481340187251E-4</v>
      </c>
      <c r="AL74" s="530">
        <f>COUNTA(E74:P74)*21</f>
        <v>0</v>
      </c>
      <c r="AM74" s="531">
        <f t="shared" ref="AM74:AM78" si="145">AL74</f>
        <v>0</v>
      </c>
      <c r="AN74" s="647"/>
      <c r="AO74" s="647">
        <f t="shared" si="139"/>
        <v>0.125</v>
      </c>
      <c r="AP74" s="555">
        <f t="shared" ref="AP74:AQ78" si="146">AL74*AN74*AG74</f>
        <v>0</v>
      </c>
      <c r="AQ74" s="556">
        <f t="shared" si="146"/>
        <v>0</v>
      </c>
      <c r="AS74" s="530">
        <f>COUNTA(Q74:AB74)*21</f>
        <v>42</v>
      </c>
      <c r="AT74" s="531">
        <f t="shared" ref="AT74:AT78" si="147">AS74</f>
        <v>42</v>
      </c>
      <c r="AU74" s="647"/>
      <c r="AV74" s="647">
        <f t="shared" si="133"/>
        <v>0.125</v>
      </c>
      <c r="AW74" s="555">
        <f t="shared" ref="AW74:AX78" si="148">AS74*AU74*AG74</f>
        <v>0</v>
      </c>
      <c r="AX74" s="556">
        <f t="shared" si="148"/>
        <v>4662</v>
      </c>
      <c r="AY74" s="547"/>
    </row>
    <row r="75" spans="1:62" ht="57" x14ac:dyDescent="0.2">
      <c r="A75" s="502" t="s">
        <v>750</v>
      </c>
      <c r="B75" s="503" t="s">
        <v>323</v>
      </c>
      <c r="C75" s="528" t="s">
        <v>732</v>
      </c>
      <c r="E75" s="529"/>
      <c r="F75" s="523"/>
      <c r="G75" s="523"/>
      <c r="H75" s="523"/>
      <c r="I75" s="523"/>
      <c r="J75" s="523"/>
      <c r="K75" s="523"/>
      <c r="L75" s="523"/>
      <c r="M75" s="523"/>
      <c r="N75" s="523"/>
      <c r="O75" s="523"/>
      <c r="P75" s="524"/>
      <c r="Q75" s="523"/>
      <c r="R75" s="523"/>
      <c r="S75" s="523"/>
      <c r="T75" s="523"/>
      <c r="U75" s="523"/>
      <c r="V75" s="523"/>
      <c r="W75" s="523"/>
      <c r="X75" s="523"/>
      <c r="Y75" s="523"/>
      <c r="Z75" s="523">
        <v>1</v>
      </c>
      <c r="AA75" s="523">
        <v>1</v>
      </c>
      <c r="AB75" s="523"/>
      <c r="AC75" s="530">
        <f>COUNTA(E75:AB75)*21</f>
        <v>42</v>
      </c>
      <c r="AD75" s="531">
        <f t="shared" si="7"/>
        <v>42</v>
      </c>
      <c r="AE75" s="644"/>
      <c r="AF75" s="647">
        <v>0.125</v>
      </c>
      <c r="AG75" s="979">
        <f t="shared" si="144"/>
        <v>5.25</v>
      </c>
      <c r="AH75" s="648">
        <f>$BE$59</f>
        <v>780</v>
      </c>
      <c r="AI75" s="640">
        <f t="shared" si="9"/>
        <v>0</v>
      </c>
      <c r="AJ75" s="641">
        <f t="shared" si="1"/>
        <v>4095</v>
      </c>
      <c r="AK75" s="527">
        <f t="shared" si="112"/>
        <v>4.8789363123266389E-4</v>
      </c>
      <c r="AL75" s="530">
        <f>COUNTA(E75:P75)*21</f>
        <v>0</v>
      </c>
      <c r="AM75" s="531">
        <f t="shared" si="145"/>
        <v>0</v>
      </c>
      <c r="AN75" s="647"/>
      <c r="AO75" s="647">
        <f t="shared" si="139"/>
        <v>0.125</v>
      </c>
      <c r="AP75" s="555">
        <f t="shared" si="146"/>
        <v>0</v>
      </c>
      <c r="AQ75" s="556">
        <f t="shared" si="146"/>
        <v>0</v>
      </c>
      <c r="AS75" s="530">
        <f>COUNTA(Q75:AB75)*21</f>
        <v>42</v>
      </c>
      <c r="AT75" s="531">
        <f t="shared" si="147"/>
        <v>42</v>
      </c>
      <c r="AU75" s="647"/>
      <c r="AV75" s="647">
        <f t="shared" si="133"/>
        <v>0.125</v>
      </c>
      <c r="AW75" s="555">
        <f t="shared" si="148"/>
        <v>0</v>
      </c>
      <c r="AX75" s="556">
        <f t="shared" si="148"/>
        <v>4095</v>
      </c>
      <c r="AY75" s="547"/>
      <c r="BA75" s="550" t="s">
        <v>660</v>
      </c>
      <c r="BB75" s="550"/>
      <c r="BC75" s="550"/>
      <c r="BD75" s="550" t="s">
        <v>702</v>
      </c>
      <c r="BE75" s="550" t="str">
        <f>C4</f>
        <v>Modul Integrované povoľovanie</v>
      </c>
      <c r="BF75" s="550" t="str">
        <f>C60</f>
        <v>2. Mobilný Agendový informačný systém KSED</v>
      </c>
      <c r="BG75" s="550" t="str">
        <f>C66</f>
        <v>3. Verejný portál KSED</v>
      </c>
      <c r="BH75" s="550" t="str">
        <f>C73</f>
        <v>4. Mobilná aplikácia Podnety</v>
      </c>
    </row>
    <row r="76" spans="1:62" ht="13.2" x14ac:dyDescent="0.2">
      <c r="A76" s="502" t="s">
        <v>750</v>
      </c>
      <c r="B76" s="503" t="s">
        <v>324</v>
      </c>
      <c r="C76" s="528" t="s">
        <v>733</v>
      </c>
      <c r="E76" s="529"/>
      <c r="F76" s="523"/>
      <c r="G76" s="523"/>
      <c r="H76" s="523"/>
      <c r="I76" s="523"/>
      <c r="J76" s="523"/>
      <c r="K76" s="523"/>
      <c r="L76" s="523"/>
      <c r="M76" s="523"/>
      <c r="N76" s="523"/>
      <c r="O76" s="523"/>
      <c r="P76" s="524"/>
      <c r="Q76" s="523"/>
      <c r="R76" s="523"/>
      <c r="S76" s="523"/>
      <c r="T76" s="523"/>
      <c r="U76" s="523"/>
      <c r="V76" s="523"/>
      <c r="W76" s="523"/>
      <c r="X76" s="523"/>
      <c r="Y76" s="523"/>
      <c r="Z76" s="523">
        <v>1</v>
      </c>
      <c r="AA76" s="523">
        <v>1</v>
      </c>
      <c r="AB76" s="523"/>
      <c r="AC76" s="530">
        <f>COUNTA(E76:AB76)*21</f>
        <v>42</v>
      </c>
      <c r="AD76" s="531">
        <f t="shared" si="7"/>
        <v>42</v>
      </c>
      <c r="AE76" s="644"/>
      <c r="AF76" s="647">
        <v>0.125</v>
      </c>
      <c r="AG76" s="979">
        <f t="shared" si="144"/>
        <v>5.25</v>
      </c>
      <c r="AH76" s="648">
        <f>$BE$60</f>
        <v>684</v>
      </c>
      <c r="AI76" s="640">
        <f t="shared" si="9"/>
        <v>0</v>
      </c>
      <c r="AJ76" s="641">
        <f t="shared" si="1"/>
        <v>3591</v>
      </c>
      <c r="AK76" s="527">
        <f t="shared" si="112"/>
        <v>4.2784518431172066E-4</v>
      </c>
      <c r="AL76" s="530">
        <f>COUNTA(E76:P76)*21</f>
        <v>0</v>
      </c>
      <c r="AM76" s="531">
        <f t="shared" si="145"/>
        <v>0</v>
      </c>
      <c r="AN76" s="647"/>
      <c r="AO76" s="647">
        <f t="shared" si="139"/>
        <v>0.125</v>
      </c>
      <c r="AP76" s="555">
        <f t="shared" si="146"/>
        <v>0</v>
      </c>
      <c r="AQ76" s="556">
        <f t="shared" si="146"/>
        <v>0</v>
      </c>
      <c r="AS76" s="530">
        <f>COUNTA(Q76:AB76)*21</f>
        <v>42</v>
      </c>
      <c r="AT76" s="531">
        <f t="shared" si="147"/>
        <v>42</v>
      </c>
      <c r="AU76" s="647"/>
      <c r="AV76" s="647">
        <f t="shared" si="133"/>
        <v>0.125</v>
      </c>
      <c r="AW76" s="555">
        <f t="shared" si="148"/>
        <v>0</v>
      </c>
      <c r="AX76" s="556">
        <f t="shared" si="148"/>
        <v>3591</v>
      </c>
      <c r="AY76" s="547"/>
      <c r="BA76" s="498" t="s">
        <v>652</v>
      </c>
      <c r="BD76" s="974">
        <f>BE76/$BE$88</f>
        <v>0.11486098014563359</v>
      </c>
      <c r="BE76" s="973">
        <v>813444.02562912542</v>
      </c>
      <c r="BF76" s="973"/>
      <c r="BG76" s="973"/>
      <c r="BH76" s="973"/>
    </row>
    <row r="77" spans="1:62" ht="13.2" x14ac:dyDescent="0.2">
      <c r="A77" s="502" t="s">
        <v>750</v>
      </c>
      <c r="B77" s="503" t="s">
        <v>325</v>
      </c>
      <c r="C77" s="528" t="s">
        <v>734</v>
      </c>
      <c r="E77" s="529"/>
      <c r="F77" s="523"/>
      <c r="G77" s="523"/>
      <c r="H77" s="523"/>
      <c r="I77" s="523"/>
      <c r="J77" s="523"/>
      <c r="K77" s="523"/>
      <c r="L77" s="523"/>
      <c r="M77" s="523"/>
      <c r="N77" s="523"/>
      <c r="O77" s="523"/>
      <c r="P77" s="524"/>
      <c r="Q77" s="523"/>
      <c r="R77" s="523"/>
      <c r="S77" s="523"/>
      <c r="T77" s="523"/>
      <c r="U77" s="523"/>
      <c r="V77" s="523"/>
      <c r="W77" s="523"/>
      <c r="X77" s="523"/>
      <c r="Y77" s="523"/>
      <c r="Z77" s="523"/>
      <c r="AA77" s="523">
        <v>1</v>
      </c>
      <c r="AB77" s="523"/>
      <c r="AC77" s="530">
        <f>COUNTA(E77:AB77)*21</f>
        <v>21</v>
      </c>
      <c r="AD77" s="531">
        <f t="shared" si="7"/>
        <v>21</v>
      </c>
      <c r="AE77" s="644"/>
      <c r="AF77" s="647">
        <v>0.125</v>
      </c>
      <c r="AG77" s="979">
        <f t="shared" si="144"/>
        <v>2.625</v>
      </c>
      <c r="AH77" s="648">
        <f>$BE$63</f>
        <v>684</v>
      </c>
      <c r="AI77" s="640">
        <f t="shared" si="9"/>
        <v>0</v>
      </c>
      <c r="AJ77" s="641">
        <f t="shared" si="1"/>
        <v>1795.5</v>
      </c>
      <c r="AK77" s="527">
        <f t="shared" si="112"/>
        <v>2.1392259215586033E-4</v>
      </c>
      <c r="AL77" s="530">
        <f>COUNTA(E77:P77)*21</f>
        <v>0</v>
      </c>
      <c r="AM77" s="531">
        <f t="shared" si="145"/>
        <v>0</v>
      </c>
      <c r="AN77" s="647"/>
      <c r="AO77" s="647">
        <f t="shared" si="139"/>
        <v>0.125</v>
      </c>
      <c r="AP77" s="555">
        <f t="shared" si="146"/>
        <v>0</v>
      </c>
      <c r="AQ77" s="556">
        <f t="shared" si="146"/>
        <v>0</v>
      </c>
      <c r="AS77" s="530">
        <f>COUNTA(Q77:AB77)*21</f>
        <v>21</v>
      </c>
      <c r="AT77" s="531">
        <f t="shared" si="147"/>
        <v>21</v>
      </c>
      <c r="AU77" s="647"/>
      <c r="AV77" s="647">
        <f t="shared" si="133"/>
        <v>0.125</v>
      </c>
      <c r="AW77" s="555">
        <f t="shared" si="148"/>
        <v>0</v>
      </c>
      <c r="AX77" s="556">
        <f t="shared" si="148"/>
        <v>1795.5</v>
      </c>
      <c r="AY77" s="547"/>
      <c r="BA77" s="498" t="s">
        <v>653</v>
      </c>
      <c r="BD77" s="974">
        <f t="shared" ref="BD77:BD84" si="149">BE77/$BE$88</f>
        <v>0.46520050814605263</v>
      </c>
      <c r="BE77" s="973">
        <v>3294544.1836839933</v>
      </c>
      <c r="BF77" s="973">
        <v>312375</v>
      </c>
      <c r="BG77" s="973"/>
      <c r="BH77" s="973"/>
      <c r="BI77" s="547"/>
      <c r="BJ77" s="547"/>
    </row>
    <row r="78" spans="1:62" ht="13.2" x14ac:dyDescent="0.2">
      <c r="A78" s="502" t="s">
        <v>750</v>
      </c>
      <c r="B78" s="503" t="s">
        <v>327</v>
      </c>
      <c r="C78" s="528" t="s">
        <v>735</v>
      </c>
      <c r="E78" s="529"/>
      <c r="F78" s="523"/>
      <c r="G78" s="523"/>
      <c r="H78" s="523"/>
      <c r="I78" s="523"/>
      <c r="J78" s="523"/>
      <c r="K78" s="523"/>
      <c r="L78" s="523"/>
      <c r="M78" s="523"/>
      <c r="N78" s="523"/>
      <c r="O78" s="523"/>
      <c r="P78" s="524"/>
      <c r="Q78" s="523"/>
      <c r="R78" s="523"/>
      <c r="S78" s="523"/>
      <c r="T78" s="523"/>
      <c r="U78" s="523"/>
      <c r="V78" s="523"/>
      <c r="W78" s="523"/>
      <c r="X78" s="523"/>
      <c r="Y78" s="523"/>
      <c r="Z78" s="523"/>
      <c r="AA78" s="523">
        <v>1</v>
      </c>
      <c r="AB78" s="523"/>
      <c r="AC78" s="530">
        <f>COUNTA(E78:AB78)*21</f>
        <v>21</v>
      </c>
      <c r="AD78" s="531">
        <f t="shared" si="7"/>
        <v>21</v>
      </c>
      <c r="AE78" s="644"/>
      <c r="AF78" s="647">
        <v>0.125</v>
      </c>
      <c r="AG78" s="979">
        <f t="shared" si="144"/>
        <v>2.625</v>
      </c>
      <c r="AH78" s="648">
        <f>$BE$61</f>
        <v>948</v>
      </c>
      <c r="AI78" s="640">
        <f t="shared" si="9"/>
        <v>0</v>
      </c>
      <c r="AJ78" s="641">
        <f t="shared" si="1"/>
        <v>2488.5</v>
      </c>
      <c r="AK78" s="527">
        <f t="shared" si="112"/>
        <v>2.9648920667215729E-4</v>
      </c>
      <c r="AL78" s="530">
        <f>COUNTA(E78:P78)*21</f>
        <v>0</v>
      </c>
      <c r="AM78" s="531">
        <f t="shared" si="145"/>
        <v>0</v>
      </c>
      <c r="AN78" s="647"/>
      <c r="AO78" s="647">
        <f t="shared" si="139"/>
        <v>0.125</v>
      </c>
      <c r="AP78" s="555">
        <f t="shared" si="146"/>
        <v>0</v>
      </c>
      <c r="AQ78" s="556">
        <f t="shared" si="146"/>
        <v>0</v>
      </c>
      <c r="AS78" s="530">
        <f>COUNTA(Q78:AB78)*21</f>
        <v>21</v>
      </c>
      <c r="AT78" s="531">
        <f t="shared" si="147"/>
        <v>21</v>
      </c>
      <c r="AU78" s="647"/>
      <c r="AV78" s="647">
        <f t="shared" si="133"/>
        <v>0.125</v>
      </c>
      <c r="AW78" s="555">
        <f t="shared" si="148"/>
        <v>0</v>
      </c>
      <c r="AX78" s="556">
        <f t="shared" si="148"/>
        <v>2488.5</v>
      </c>
      <c r="AY78" s="547"/>
      <c r="BA78" s="498" t="s">
        <v>654</v>
      </c>
      <c r="BD78" s="974">
        <f t="shared" si="149"/>
        <v>0.10496108142560288</v>
      </c>
      <c r="BE78" s="973">
        <v>743333.06664260186</v>
      </c>
      <c r="BF78" s="973"/>
      <c r="BG78" s="973"/>
      <c r="BH78" s="973"/>
    </row>
    <row r="79" spans="1:62" ht="12" x14ac:dyDescent="0.2">
      <c r="A79" s="502" t="s">
        <v>752</v>
      </c>
      <c r="C79" s="522" t="s">
        <v>743</v>
      </c>
      <c r="E79" s="529"/>
      <c r="F79" s="523"/>
      <c r="G79" s="523"/>
      <c r="H79" s="523"/>
      <c r="I79" s="523"/>
      <c r="J79" s="523"/>
      <c r="K79" s="523"/>
      <c r="L79" s="523"/>
      <c r="M79" s="523"/>
      <c r="N79" s="523"/>
      <c r="O79" s="523"/>
      <c r="P79" s="524"/>
      <c r="Q79" s="523"/>
      <c r="R79" s="523"/>
      <c r="S79" s="523"/>
      <c r="T79" s="523"/>
      <c r="U79" s="523"/>
      <c r="V79" s="523"/>
      <c r="W79" s="523"/>
      <c r="X79" s="523"/>
      <c r="Y79" s="523"/>
      <c r="Z79" s="523"/>
      <c r="AA79" s="523"/>
      <c r="AB79" s="523"/>
      <c r="AC79" s="532"/>
      <c r="AD79" s="533"/>
      <c r="AE79" s="645"/>
      <c r="AF79" s="649" t="s">
        <v>706</v>
      </c>
      <c r="AG79" s="975">
        <f>SUM(AG74:AG78)</f>
        <v>21</v>
      </c>
      <c r="AH79" s="650"/>
      <c r="AI79" s="640"/>
      <c r="AJ79" s="641"/>
      <c r="AK79" s="527">
        <f t="shared" si="112"/>
        <v>0</v>
      </c>
      <c r="AL79" s="532"/>
      <c r="AM79" s="533"/>
      <c r="AN79" s="649"/>
      <c r="AO79" s="649"/>
      <c r="AP79" s="555"/>
      <c r="AQ79" s="556"/>
      <c r="AS79" s="532"/>
      <c r="AT79" s="533"/>
      <c r="AU79" s="649"/>
      <c r="AV79" s="649"/>
      <c r="AW79" s="555"/>
      <c r="AX79" s="556"/>
      <c r="BA79" s="498" t="s">
        <v>655</v>
      </c>
      <c r="BD79" s="974">
        <f t="shared" si="149"/>
        <v>4.7063099167059558E-2</v>
      </c>
      <c r="BE79" s="973">
        <v>333300.28001237626</v>
      </c>
      <c r="BF79" s="973"/>
      <c r="BG79" s="973"/>
      <c r="BH79" s="973"/>
    </row>
    <row r="80" spans="1:62" ht="13.2" x14ac:dyDescent="0.2">
      <c r="A80" s="502" t="s">
        <v>752</v>
      </c>
      <c r="B80" s="503" t="s">
        <v>322</v>
      </c>
      <c r="C80" s="528" t="s">
        <v>736</v>
      </c>
      <c r="E80" s="529"/>
      <c r="F80" s="523"/>
      <c r="G80" s="523"/>
      <c r="H80" s="523"/>
      <c r="I80" s="523"/>
      <c r="J80" s="523"/>
      <c r="K80" s="523"/>
      <c r="L80" s="523">
        <v>1</v>
      </c>
      <c r="M80" s="523">
        <v>1</v>
      </c>
      <c r="N80" s="523">
        <v>1</v>
      </c>
      <c r="O80" s="523">
        <v>1</v>
      </c>
      <c r="P80" s="524">
        <v>1</v>
      </c>
      <c r="Q80" s="523">
        <v>1</v>
      </c>
      <c r="R80" s="523">
        <v>1</v>
      </c>
      <c r="S80" s="523">
        <v>1</v>
      </c>
      <c r="T80" s="523">
        <v>1</v>
      </c>
      <c r="U80" s="523">
        <v>1</v>
      </c>
      <c r="V80" s="523">
        <v>1</v>
      </c>
      <c r="W80" s="523">
        <v>1</v>
      </c>
      <c r="X80" s="523"/>
      <c r="Y80" s="523"/>
      <c r="Z80" s="523"/>
      <c r="AA80" s="523"/>
      <c r="AB80" s="523"/>
      <c r="AC80" s="530">
        <f>COUNTA(E80:AB80)*21</f>
        <v>252</v>
      </c>
      <c r="AD80" s="531">
        <f t="shared" si="7"/>
        <v>252</v>
      </c>
      <c r="AE80" s="644"/>
      <c r="AF80" s="647">
        <v>0.125</v>
      </c>
      <c r="AG80" s="979">
        <f t="shared" ref="AG80:AG89" si="150">AF80*AD80</f>
        <v>31.5</v>
      </c>
      <c r="AH80" s="648">
        <f>$BE$58</f>
        <v>888</v>
      </c>
      <c r="AI80" s="640">
        <f t="shared" si="9"/>
        <v>0</v>
      </c>
      <c r="AJ80" s="641">
        <f t="shared" si="1"/>
        <v>27972</v>
      </c>
      <c r="AK80" s="527">
        <f t="shared" si="112"/>
        <v>3.3326888041123504E-3</v>
      </c>
      <c r="AL80" s="530">
        <f>COUNTA(E80:P80)*21</f>
        <v>105</v>
      </c>
      <c r="AM80" s="531">
        <f t="shared" ref="AM80:AM84" si="151">AL80</f>
        <v>105</v>
      </c>
      <c r="AN80" s="647"/>
      <c r="AO80" s="647">
        <f t="shared" ref="AO80:AO86" si="152">AF80</f>
        <v>0.125</v>
      </c>
      <c r="AP80" s="555">
        <f t="shared" ref="AP80:AQ84" si="153">AL80*AN80*AG80</f>
        <v>0</v>
      </c>
      <c r="AQ80" s="556">
        <f t="shared" si="153"/>
        <v>11655</v>
      </c>
      <c r="AS80" s="530">
        <f>COUNTA(Q80:AB80)*21</f>
        <v>147</v>
      </c>
      <c r="AT80" s="531">
        <f t="shared" ref="AT80:AT84" si="154">AS80</f>
        <v>147</v>
      </c>
      <c r="AU80" s="647"/>
      <c r="AV80" s="647">
        <f t="shared" si="133"/>
        <v>0.125</v>
      </c>
      <c r="AW80" s="555">
        <f t="shared" ref="AW80:AX84" si="155">AS80*AU80*AG80</f>
        <v>0</v>
      </c>
      <c r="AX80" s="556">
        <f t="shared" si="155"/>
        <v>16317</v>
      </c>
      <c r="AY80" s="547"/>
      <c r="BA80" s="498" t="s">
        <v>656</v>
      </c>
      <c r="BD80" s="974">
        <f t="shared" si="149"/>
        <v>7.1072017916077312E-2</v>
      </c>
      <c r="BE80" s="973">
        <v>503331.14248143567</v>
      </c>
      <c r="BF80" s="973"/>
      <c r="BG80" s="973"/>
      <c r="BH80" s="973"/>
    </row>
    <row r="81" spans="1:60" ht="13.2" x14ac:dyDescent="0.2">
      <c r="A81" s="502" t="s">
        <v>752</v>
      </c>
      <c r="B81" s="503" t="s">
        <v>323</v>
      </c>
      <c r="C81" s="528" t="s">
        <v>737</v>
      </c>
      <c r="E81" s="529"/>
      <c r="F81" s="523"/>
      <c r="G81" s="523"/>
      <c r="H81" s="523"/>
      <c r="I81" s="523"/>
      <c r="J81" s="523"/>
      <c r="K81" s="523"/>
      <c r="L81" s="523"/>
      <c r="M81" s="523">
        <v>1</v>
      </c>
      <c r="N81" s="523">
        <v>1</v>
      </c>
      <c r="O81" s="523">
        <v>1</v>
      </c>
      <c r="P81" s="524">
        <v>1</v>
      </c>
      <c r="Q81" s="523">
        <v>1</v>
      </c>
      <c r="R81" s="523">
        <v>1</v>
      </c>
      <c r="S81" s="523">
        <v>1</v>
      </c>
      <c r="T81" s="523">
        <v>1</v>
      </c>
      <c r="U81" s="523">
        <v>1</v>
      </c>
      <c r="V81" s="523">
        <v>1</v>
      </c>
      <c r="W81" s="523">
        <v>1</v>
      </c>
      <c r="X81" s="523">
        <v>1</v>
      </c>
      <c r="Y81" s="523">
        <v>1</v>
      </c>
      <c r="Z81" s="523">
        <v>1</v>
      </c>
      <c r="AA81" s="523">
        <v>1</v>
      </c>
      <c r="AB81" s="523">
        <v>1</v>
      </c>
      <c r="AC81" s="530">
        <f>COUNTA(E81:AB81)*21</f>
        <v>336</v>
      </c>
      <c r="AD81" s="531">
        <f t="shared" si="7"/>
        <v>336</v>
      </c>
      <c r="AE81" s="644"/>
      <c r="AF81" s="647">
        <v>0.5</v>
      </c>
      <c r="AG81" s="979">
        <f t="shared" si="150"/>
        <v>168</v>
      </c>
      <c r="AH81" s="648">
        <f>$BE$59</f>
        <v>780</v>
      </c>
      <c r="AI81" s="640">
        <f t="shared" si="9"/>
        <v>0</v>
      </c>
      <c r="AJ81" s="641">
        <f t="shared" si="1"/>
        <v>131040</v>
      </c>
      <c r="AK81" s="527">
        <f t="shared" si="112"/>
        <v>1.5612596199445244E-2</v>
      </c>
      <c r="AL81" s="530">
        <f>COUNTA(E81:P81)*21</f>
        <v>84</v>
      </c>
      <c r="AM81" s="531">
        <f t="shared" si="151"/>
        <v>84</v>
      </c>
      <c r="AN81" s="647"/>
      <c r="AO81" s="647">
        <f t="shared" si="152"/>
        <v>0.5</v>
      </c>
      <c r="AP81" s="555">
        <f t="shared" si="153"/>
        <v>0</v>
      </c>
      <c r="AQ81" s="556">
        <f t="shared" si="153"/>
        <v>32760</v>
      </c>
      <c r="AS81" s="530">
        <f>COUNTA(Q81:AB81)*21</f>
        <v>252</v>
      </c>
      <c r="AT81" s="531">
        <f t="shared" si="154"/>
        <v>252</v>
      </c>
      <c r="AU81" s="647"/>
      <c r="AV81" s="647">
        <f t="shared" si="133"/>
        <v>0.5</v>
      </c>
      <c r="AW81" s="555">
        <f t="shared" si="155"/>
        <v>0</v>
      </c>
      <c r="AX81" s="556">
        <f t="shared" si="155"/>
        <v>98280</v>
      </c>
      <c r="AY81" s="547"/>
      <c r="BA81" s="498" t="s">
        <v>657</v>
      </c>
      <c r="BD81" s="974">
        <f t="shared" si="149"/>
        <v>0.10760745717428884</v>
      </c>
      <c r="BE81" s="973">
        <v>762074.66661509895</v>
      </c>
      <c r="BF81" s="973"/>
      <c r="BG81" s="973"/>
      <c r="BH81" s="973"/>
    </row>
    <row r="82" spans="1:60" ht="13.2" x14ac:dyDescent="0.2">
      <c r="A82" s="502" t="s">
        <v>752</v>
      </c>
      <c r="B82" s="503" t="s">
        <v>324</v>
      </c>
      <c r="C82" s="528" t="s">
        <v>738</v>
      </c>
      <c r="E82" s="529"/>
      <c r="F82" s="523"/>
      <c r="G82" s="523"/>
      <c r="H82" s="523"/>
      <c r="I82" s="523"/>
      <c r="J82" s="523"/>
      <c r="K82" s="523"/>
      <c r="L82" s="523"/>
      <c r="M82" s="523"/>
      <c r="N82" s="523"/>
      <c r="O82" s="523">
        <v>1</v>
      </c>
      <c r="P82" s="524">
        <v>1</v>
      </c>
      <c r="Q82" s="523"/>
      <c r="R82" s="523"/>
      <c r="S82" s="523"/>
      <c r="T82" s="523">
        <v>1</v>
      </c>
      <c r="U82" s="523">
        <v>1</v>
      </c>
      <c r="V82" s="523"/>
      <c r="W82" s="523"/>
      <c r="X82" s="523"/>
      <c r="Y82" s="523">
        <v>1</v>
      </c>
      <c r="Z82" s="523"/>
      <c r="AA82" s="523"/>
      <c r="AB82" s="523">
        <v>1</v>
      </c>
      <c r="AC82" s="530">
        <f>COUNTA(E82:AB82)*21</f>
        <v>126</v>
      </c>
      <c r="AD82" s="531">
        <f t="shared" si="7"/>
        <v>126</v>
      </c>
      <c r="AE82" s="644"/>
      <c r="AF82" s="647">
        <v>0.5</v>
      </c>
      <c r="AG82" s="979">
        <f t="shared" si="150"/>
        <v>63</v>
      </c>
      <c r="AH82" s="648">
        <f>$BE$60</f>
        <v>684</v>
      </c>
      <c r="AI82" s="640">
        <f t="shared" si="9"/>
        <v>0</v>
      </c>
      <c r="AJ82" s="641">
        <f t="shared" si="1"/>
        <v>43092</v>
      </c>
      <c r="AK82" s="527">
        <f t="shared" si="112"/>
        <v>5.134142211740648E-3</v>
      </c>
      <c r="AL82" s="530">
        <f>COUNTA(E82:P82)*21</f>
        <v>42</v>
      </c>
      <c r="AM82" s="531">
        <f t="shared" si="151"/>
        <v>42</v>
      </c>
      <c r="AN82" s="647"/>
      <c r="AO82" s="647">
        <f t="shared" si="152"/>
        <v>0.5</v>
      </c>
      <c r="AP82" s="555">
        <f t="shared" si="153"/>
        <v>0</v>
      </c>
      <c r="AQ82" s="556">
        <f t="shared" si="153"/>
        <v>14364</v>
      </c>
      <c r="AS82" s="530">
        <f>COUNTA(Q82:AB82)*21</f>
        <v>84</v>
      </c>
      <c r="AT82" s="531">
        <f t="shared" si="154"/>
        <v>84</v>
      </c>
      <c r="AU82" s="647"/>
      <c r="AV82" s="647">
        <f t="shared" si="133"/>
        <v>0.5</v>
      </c>
      <c r="AW82" s="555">
        <f t="shared" si="155"/>
        <v>0</v>
      </c>
      <c r="AX82" s="556">
        <f t="shared" si="155"/>
        <v>28728</v>
      </c>
      <c r="AY82" s="547"/>
      <c r="BA82" s="498" t="s">
        <v>658</v>
      </c>
      <c r="BD82" s="974">
        <f t="shared" si="149"/>
        <v>3.9988125796706644E-2</v>
      </c>
      <c r="BE82" s="973">
        <v>283195.40704070404</v>
      </c>
      <c r="BF82" s="973"/>
      <c r="BG82" s="973"/>
      <c r="BH82" s="973">
        <f>SUM(AJ74:AJ78)</f>
        <v>16632</v>
      </c>
    </row>
    <row r="83" spans="1:60" ht="13.2" x14ac:dyDescent="0.2">
      <c r="A83" s="502" t="s">
        <v>752</v>
      </c>
      <c r="B83" s="503" t="s">
        <v>325</v>
      </c>
      <c r="C83" s="528" t="s">
        <v>739</v>
      </c>
      <c r="E83" s="529"/>
      <c r="F83" s="523"/>
      <c r="G83" s="523"/>
      <c r="H83" s="523"/>
      <c r="I83" s="523"/>
      <c r="J83" s="523"/>
      <c r="K83" s="523"/>
      <c r="L83" s="523"/>
      <c r="M83" s="523"/>
      <c r="N83" s="523"/>
      <c r="O83" s="523"/>
      <c r="P83" s="524">
        <v>1</v>
      </c>
      <c r="Q83" s="523"/>
      <c r="R83" s="523"/>
      <c r="S83" s="523"/>
      <c r="T83" s="523"/>
      <c r="U83" s="523">
        <v>1</v>
      </c>
      <c r="V83" s="523"/>
      <c r="W83" s="523"/>
      <c r="X83" s="523"/>
      <c r="Y83" s="523">
        <v>1</v>
      </c>
      <c r="Z83" s="523"/>
      <c r="AA83" s="523"/>
      <c r="AB83" s="523">
        <v>1</v>
      </c>
      <c r="AC83" s="530">
        <f>COUNTA(E83:AB83)*21</f>
        <v>84</v>
      </c>
      <c r="AD83" s="531">
        <f t="shared" si="7"/>
        <v>84</v>
      </c>
      <c r="AE83" s="644"/>
      <c r="AF83" s="647">
        <v>0.125</v>
      </c>
      <c r="AG83" s="979">
        <f t="shared" si="150"/>
        <v>10.5</v>
      </c>
      <c r="AH83" s="648">
        <f>$BE$63</f>
        <v>684</v>
      </c>
      <c r="AI83" s="640">
        <f t="shared" si="9"/>
        <v>0</v>
      </c>
      <c r="AJ83" s="641">
        <f t="shared" si="1"/>
        <v>7182</v>
      </c>
      <c r="AK83" s="527">
        <f t="shared" si="112"/>
        <v>8.5569036862344133E-4</v>
      </c>
      <c r="AL83" s="530">
        <f>COUNTA(E83:P83)*21</f>
        <v>21</v>
      </c>
      <c r="AM83" s="531">
        <f t="shared" si="151"/>
        <v>21</v>
      </c>
      <c r="AN83" s="647"/>
      <c r="AO83" s="647">
        <f t="shared" si="152"/>
        <v>0.125</v>
      </c>
      <c r="AP83" s="555">
        <f t="shared" si="153"/>
        <v>0</v>
      </c>
      <c r="AQ83" s="556">
        <f t="shared" si="153"/>
        <v>1795.5</v>
      </c>
      <c r="AS83" s="530">
        <f>COUNTA(Q83:AB83)*21</f>
        <v>63</v>
      </c>
      <c r="AT83" s="531">
        <f t="shared" si="154"/>
        <v>63</v>
      </c>
      <c r="AU83" s="647"/>
      <c r="AV83" s="647">
        <f t="shared" si="133"/>
        <v>0.125</v>
      </c>
      <c r="AW83" s="555">
        <f t="shared" si="155"/>
        <v>0</v>
      </c>
      <c r="AX83" s="556">
        <f t="shared" si="155"/>
        <v>5386.5</v>
      </c>
      <c r="AY83" s="547"/>
      <c r="BA83" s="498" t="s">
        <v>659</v>
      </c>
      <c r="BD83" s="974">
        <f t="shared" si="149"/>
        <v>4.9246730228578416E-2</v>
      </c>
      <c r="BE83" s="973">
        <v>348764.72789466451</v>
      </c>
      <c r="BF83" s="973"/>
      <c r="BG83" s="973"/>
      <c r="BH83" s="973"/>
    </row>
    <row r="84" spans="1:60" ht="13.2" x14ac:dyDescent="0.2">
      <c r="A84" s="502" t="s">
        <v>752</v>
      </c>
      <c r="B84" s="503" t="s">
        <v>327</v>
      </c>
      <c r="C84" s="528" t="s">
        <v>740</v>
      </c>
      <c r="E84" s="529"/>
      <c r="F84" s="523"/>
      <c r="G84" s="523"/>
      <c r="H84" s="523"/>
      <c r="I84" s="523"/>
      <c r="J84" s="523"/>
      <c r="K84" s="523"/>
      <c r="L84" s="523"/>
      <c r="M84" s="523"/>
      <c r="N84" s="523"/>
      <c r="O84" s="523"/>
      <c r="P84" s="524">
        <v>1</v>
      </c>
      <c r="Q84" s="523"/>
      <c r="R84" s="523"/>
      <c r="S84" s="523"/>
      <c r="T84" s="523"/>
      <c r="U84" s="523">
        <v>1</v>
      </c>
      <c r="V84" s="523"/>
      <c r="W84" s="523"/>
      <c r="X84" s="523"/>
      <c r="Y84" s="523">
        <v>1</v>
      </c>
      <c r="Z84" s="523"/>
      <c r="AA84" s="523"/>
      <c r="AB84" s="523">
        <v>1</v>
      </c>
      <c r="AC84" s="530">
        <f>COUNTA(E84:AB84)*21</f>
        <v>84</v>
      </c>
      <c r="AD84" s="531">
        <f t="shared" si="7"/>
        <v>84</v>
      </c>
      <c r="AE84" s="644"/>
      <c r="AF84" s="647">
        <v>0.125</v>
      </c>
      <c r="AG84" s="979">
        <f t="shared" si="150"/>
        <v>10.5</v>
      </c>
      <c r="AH84" s="648">
        <f>$BE$61</f>
        <v>948</v>
      </c>
      <c r="AI84" s="640">
        <f t="shared" si="9"/>
        <v>0</v>
      </c>
      <c r="AJ84" s="641">
        <f t="shared" si="1"/>
        <v>9954</v>
      </c>
      <c r="AK84" s="527">
        <f t="shared" si="112"/>
        <v>1.1859568266886292E-3</v>
      </c>
      <c r="AL84" s="530">
        <f>COUNTA(E84:P84)*21</f>
        <v>21</v>
      </c>
      <c r="AM84" s="531">
        <f t="shared" si="151"/>
        <v>21</v>
      </c>
      <c r="AN84" s="647"/>
      <c r="AO84" s="647">
        <f t="shared" si="152"/>
        <v>0.125</v>
      </c>
      <c r="AP84" s="555">
        <f t="shared" si="153"/>
        <v>0</v>
      </c>
      <c r="AQ84" s="556">
        <f t="shared" si="153"/>
        <v>2488.5</v>
      </c>
      <c r="AS84" s="530">
        <f>COUNTA(Q84:AB84)*21</f>
        <v>63</v>
      </c>
      <c r="AT84" s="531">
        <f t="shared" si="154"/>
        <v>63</v>
      </c>
      <c r="AU84" s="647"/>
      <c r="AV84" s="647">
        <f t="shared" si="133"/>
        <v>0.125</v>
      </c>
      <c r="AW84" s="555">
        <f t="shared" si="155"/>
        <v>0</v>
      </c>
      <c r="AX84" s="556">
        <f t="shared" si="155"/>
        <v>7465.5</v>
      </c>
      <c r="AY84" s="547"/>
      <c r="BA84" s="498" t="s">
        <v>703</v>
      </c>
      <c r="BD84" s="974">
        <f t="shared" si="149"/>
        <v>0.11871455576559543</v>
      </c>
      <c r="BE84" s="973">
        <v>840734.99999999988</v>
      </c>
      <c r="BF84" s="973"/>
      <c r="BG84" s="973">
        <f>SUM(AJ67:AJ72)</f>
        <v>259686</v>
      </c>
      <c r="BH84" s="973"/>
    </row>
    <row r="85" spans="1:60" ht="13.2" x14ac:dyDescent="0.2">
      <c r="A85" s="502" t="s">
        <v>752</v>
      </c>
      <c r="B85" s="503" t="s">
        <v>322</v>
      </c>
      <c r="C85" s="528" t="s">
        <v>745</v>
      </c>
      <c r="E85" s="529">
        <v>1</v>
      </c>
      <c r="F85" s="523">
        <v>1</v>
      </c>
      <c r="G85" s="523">
        <v>1</v>
      </c>
      <c r="H85" s="523">
        <v>1</v>
      </c>
      <c r="I85" s="523">
        <v>1</v>
      </c>
      <c r="J85" s="523">
        <v>1</v>
      </c>
      <c r="K85" s="523">
        <v>1</v>
      </c>
      <c r="L85" s="523">
        <v>1</v>
      </c>
      <c r="M85" s="523">
        <v>1</v>
      </c>
      <c r="N85" s="523">
        <v>1</v>
      </c>
      <c r="O85" s="523">
        <v>1</v>
      </c>
      <c r="P85" s="524">
        <v>1</v>
      </c>
      <c r="Q85" s="523">
        <v>1</v>
      </c>
      <c r="R85" s="523">
        <v>1</v>
      </c>
      <c r="S85" s="523">
        <v>1</v>
      </c>
      <c r="T85" s="523">
        <v>1</v>
      </c>
      <c r="U85" s="523">
        <v>1</v>
      </c>
      <c r="V85" s="523">
        <v>1</v>
      </c>
      <c r="W85" s="523">
        <v>1</v>
      </c>
      <c r="X85" s="523">
        <v>1</v>
      </c>
      <c r="Y85" s="523">
        <v>1</v>
      </c>
      <c r="Z85" s="523">
        <v>1</v>
      </c>
      <c r="AA85" s="523">
        <v>1</v>
      </c>
      <c r="AB85" s="523">
        <v>1</v>
      </c>
      <c r="AC85" s="530">
        <f t="shared" ref="AC85:AC86" si="156">COUNTA(E85:AB85)*21</f>
        <v>504</v>
      </c>
      <c r="AD85" s="531">
        <f t="shared" si="7"/>
        <v>504</v>
      </c>
      <c r="AE85" s="644"/>
      <c r="AF85" s="647">
        <v>0.2</v>
      </c>
      <c r="AG85" s="979">
        <f t="shared" si="150"/>
        <v>100.80000000000001</v>
      </c>
      <c r="AH85" s="648">
        <f>BE65</f>
        <v>1440</v>
      </c>
      <c r="AI85" s="640">
        <f t="shared" si="9"/>
        <v>0</v>
      </c>
      <c r="AJ85" s="641">
        <f t="shared" si="1"/>
        <v>145152.00000000003</v>
      </c>
      <c r="AK85" s="527">
        <f t="shared" si="112"/>
        <v>1.7293952713231659E-2</v>
      </c>
      <c r="AL85" s="530">
        <f t="shared" ref="AL85:AL86" si="157">COUNTA(E85:P85)*21</f>
        <v>252</v>
      </c>
      <c r="AM85" s="531">
        <f t="shared" ref="AM85:AM86" si="158">AL85</f>
        <v>252</v>
      </c>
      <c r="AN85" s="647"/>
      <c r="AO85" s="647">
        <f t="shared" si="152"/>
        <v>0.2</v>
      </c>
      <c r="AP85" s="555">
        <f t="shared" ref="AP85:AP86" si="159">AL85*AN85*AG85</f>
        <v>0</v>
      </c>
      <c r="AQ85" s="556">
        <f t="shared" ref="AQ85:AQ86" si="160">AM85*AO85*AH85</f>
        <v>72576.000000000015</v>
      </c>
      <c r="AS85" s="530">
        <f t="shared" ref="AS85:AS86" si="161">COUNTA(Q85:AB85)*21</f>
        <v>252</v>
      </c>
      <c r="AT85" s="531">
        <f t="shared" ref="AT85:AT86" si="162">AS85</f>
        <v>252</v>
      </c>
      <c r="AU85" s="647"/>
      <c r="AV85" s="647">
        <f t="shared" si="133"/>
        <v>0.2</v>
      </c>
      <c r="AW85" s="555">
        <f t="shared" ref="AW85:AW86" si="163">AS85*AU85*AG85</f>
        <v>0</v>
      </c>
      <c r="AX85" s="556">
        <f t="shared" ref="AX85:AX86" si="164">AT85*AV85*AH85</f>
        <v>72576.000000000015</v>
      </c>
      <c r="AY85" s="547"/>
      <c r="BD85" s="974"/>
      <c r="BE85" s="547"/>
      <c r="BF85" s="547"/>
      <c r="BG85" s="547"/>
      <c r="BH85" s="547"/>
    </row>
    <row r="86" spans="1:60" ht="13.2" x14ac:dyDescent="0.2">
      <c r="A86" s="502" t="s">
        <v>752</v>
      </c>
      <c r="B86" s="503" t="s">
        <v>322</v>
      </c>
      <c r="C86" s="528" t="s">
        <v>746</v>
      </c>
      <c r="E86" s="529">
        <v>1</v>
      </c>
      <c r="F86" s="523">
        <v>1</v>
      </c>
      <c r="G86" s="523">
        <v>1</v>
      </c>
      <c r="H86" s="523">
        <v>1</v>
      </c>
      <c r="I86" s="523">
        <v>1</v>
      </c>
      <c r="J86" s="523">
        <v>1</v>
      </c>
      <c r="K86" s="523">
        <v>1</v>
      </c>
      <c r="L86" s="523">
        <v>1</v>
      </c>
      <c r="M86" s="523">
        <v>1</v>
      </c>
      <c r="N86" s="523">
        <v>1</v>
      </c>
      <c r="O86" s="523">
        <v>1</v>
      </c>
      <c r="P86" s="524">
        <v>1</v>
      </c>
      <c r="Q86" s="523">
        <v>1</v>
      </c>
      <c r="R86" s="523">
        <v>1</v>
      </c>
      <c r="S86" s="523">
        <v>1</v>
      </c>
      <c r="T86" s="523">
        <v>1</v>
      </c>
      <c r="U86" s="523">
        <v>1</v>
      </c>
      <c r="V86" s="523">
        <v>1</v>
      </c>
      <c r="W86" s="523">
        <v>1</v>
      </c>
      <c r="X86" s="523">
        <v>1</v>
      </c>
      <c r="Y86" s="523">
        <v>1</v>
      </c>
      <c r="Z86" s="523">
        <v>1</v>
      </c>
      <c r="AA86" s="523">
        <v>1</v>
      </c>
      <c r="AB86" s="523">
        <v>1</v>
      </c>
      <c r="AC86" s="530">
        <f t="shared" si="156"/>
        <v>504</v>
      </c>
      <c r="AD86" s="531">
        <f t="shared" ref="AD86" si="165">COUNTA(E86:AB86)*21</f>
        <v>504</v>
      </c>
      <c r="AE86" s="644"/>
      <c r="AF86" s="647">
        <v>0.5</v>
      </c>
      <c r="AG86" s="979">
        <f t="shared" si="150"/>
        <v>252</v>
      </c>
      <c r="AH86" s="648">
        <f>BE64</f>
        <v>1068</v>
      </c>
      <c r="AI86" s="640">
        <f t="shared" ref="AI86" si="166">AC86*AE86*AG86</f>
        <v>0</v>
      </c>
      <c r="AJ86" s="641">
        <f t="shared" si="1"/>
        <v>269136</v>
      </c>
      <c r="AK86" s="527">
        <f t="shared" si="112"/>
        <v>3.2065870655783694E-2</v>
      </c>
      <c r="AL86" s="530">
        <f t="shared" si="157"/>
        <v>252</v>
      </c>
      <c r="AM86" s="531">
        <f t="shared" si="158"/>
        <v>252</v>
      </c>
      <c r="AN86" s="647"/>
      <c r="AO86" s="647">
        <f t="shared" si="152"/>
        <v>0.5</v>
      </c>
      <c r="AP86" s="555">
        <f t="shared" si="159"/>
        <v>0</v>
      </c>
      <c r="AQ86" s="556">
        <f t="shared" si="160"/>
        <v>134568</v>
      </c>
      <c r="AS86" s="530">
        <f t="shared" si="161"/>
        <v>252</v>
      </c>
      <c r="AT86" s="531">
        <f t="shared" si="162"/>
        <v>252</v>
      </c>
      <c r="AU86" s="647"/>
      <c r="AV86" s="647">
        <f t="shared" si="133"/>
        <v>0.5</v>
      </c>
      <c r="AW86" s="555">
        <f t="shared" si="163"/>
        <v>0</v>
      </c>
      <c r="AX86" s="556">
        <f t="shared" si="164"/>
        <v>134568</v>
      </c>
      <c r="AY86" s="547"/>
      <c r="BD86" s="974"/>
      <c r="BE86" s="547"/>
      <c r="BF86" s="547"/>
      <c r="BG86" s="547"/>
      <c r="BH86" s="547"/>
    </row>
    <row r="87" spans="1:60" ht="13.2" x14ac:dyDescent="0.2">
      <c r="A87" s="502" t="s">
        <v>752</v>
      </c>
      <c r="B87" s="503" t="s">
        <v>327</v>
      </c>
      <c r="C87" s="528" t="s">
        <v>757</v>
      </c>
      <c r="E87" s="529"/>
      <c r="F87" s="523"/>
      <c r="G87" s="523"/>
      <c r="H87" s="523"/>
      <c r="I87" s="523"/>
      <c r="J87" s="523"/>
      <c r="K87" s="523"/>
      <c r="L87" s="523"/>
      <c r="M87" s="523"/>
      <c r="N87" s="523"/>
      <c r="O87" s="523"/>
      <c r="P87" s="524"/>
      <c r="Q87" s="523"/>
      <c r="R87" s="523"/>
      <c r="S87" s="523"/>
      <c r="T87" s="523"/>
      <c r="U87" s="523"/>
      <c r="V87" s="523"/>
      <c r="W87" s="523"/>
      <c r="X87" s="523">
        <v>1</v>
      </c>
      <c r="Y87" s="523">
        <v>1</v>
      </c>
      <c r="Z87" s="523">
        <v>1</v>
      </c>
      <c r="AA87" s="523">
        <v>1</v>
      </c>
      <c r="AB87" s="523">
        <v>1</v>
      </c>
      <c r="AC87" s="530">
        <f t="shared" ref="AC87" si="167">COUNTA(E87:AB87)*21</f>
        <v>105</v>
      </c>
      <c r="AD87" s="531">
        <f t="shared" ref="AD87" si="168">COUNTA(E87:AB87)*21</f>
        <v>105</v>
      </c>
      <c r="AE87" s="644"/>
      <c r="AF87" s="647">
        <v>0.5</v>
      </c>
      <c r="AG87" s="979">
        <f t="shared" ref="AG87" si="169">AF87*AD87</f>
        <v>52.5</v>
      </c>
      <c r="AH87" s="648">
        <f>BE62</f>
        <v>852</v>
      </c>
      <c r="AI87" s="640">
        <f t="shared" ref="AI87" si="170">AC87*AE87*AG87</f>
        <v>0</v>
      </c>
      <c r="AJ87" s="641">
        <f t="shared" ref="AJ87" si="171">AD87*AF87*AH87</f>
        <v>44730</v>
      </c>
      <c r="AK87" s="527">
        <f t="shared" si="112"/>
        <v>5.3292996642337132E-3</v>
      </c>
      <c r="AL87" s="530">
        <f t="shared" ref="AL87" si="172">COUNTA(E87:P87)*21</f>
        <v>0</v>
      </c>
      <c r="AM87" s="531">
        <f t="shared" ref="AM87" si="173">AL87</f>
        <v>0</v>
      </c>
      <c r="AN87" s="647"/>
      <c r="AO87" s="647">
        <f t="shared" ref="AO87" si="174">AF87</f>
        <v>0.5</v>
      </c>
      <c r="AP87" s="555">
        <f t="shared" ref="AP87" si="175">AL87*AN87*AG87</f>
        <v>0</v>
      </c>
      <c r="AQ87" s="556">
        <f t="shared" ref="AQ87" si="176">AM87*AO87*AH87</f>
        <v>0</v>
      </c>
      <c r="AS87" s="530">
        <f t="shared" ref="AS87" si="177">COUNTA(Q87:AB87)*21</f>
        <v>105</v>
      </c>
      <c r="AT87" s="531">
        <f t="shared" ref="AT87" si="178">AS87</f>
        <v>105</v>
      </c>
      <c r="AU87" s="647"/>
      <c r="AV87" s="647">
        <f t="shared" ref="AV87" si="179">AF87</f>
        <v>0.5</v>
      </c>
      <c r="AW87" s="555">
        <f t="shared" ref="AW87" si="180">AS87*AU87*AG87</f>
        <v>0</v>
      </c>
      <c r="AX87" s="556">
        <f t="shared" ref="AX87" si="181">AT87*AV87*AH87</f>
        <v>44730</v>
      </c>
      <c r="AY87" s="547"/>
      <c r="BD87" s="974"/>
      <c r="BE87" s="547"/>
      <c r="BF87" s="547"/>
      <c r="BG87" s="547"/>
      <c r="BH87" s="547"/>
    </row>
    <row r="88" spans="1:60" ht="12" x14ac:dyDescent="0.2">
      <c r="A88" s="502" t="s">
        <v>752</v>
      </c>
      <c r="C88" s="522" t="s">
        <v>744</v>
      </c>
      <c r="E88" s="529"/>
      <c r="F88" s="523"/>
      <c r="G88" s="523"/>
      <c r="H88" s="523"/>
      <c r="I88" s="523"/>
      <c r="J88" s="523"/>
      <c r="K88" s="523"/>
      <c r="L88" s="523"/>
      <c r="M88" s="523"/>
      <c r="N88" s="523"/>
      <c r="O88" s="523"/>
      <c r="P88" s="524"/>
      <c r="Q88" s="523"/>
      <c r="R88" s="523"/>
      <c r="S88" s="523"/>
      <c r="T88" s="523"/>
      <c r="U88" s="523"/>
      <c r="V88" s="523"/>
      <c r="W88" s="523"/>
      <c r="X88" s="523"/>
      <c r="Y88" s="523"/>
      <c r="Z88" s="523"/>
      <c r="AA88" s="523"/>
      <c r="AB88" s="523"/>
      <c r="AC88" s="532"/>
      <c r="AD88" s="533"/>
      <c r="AE88" s="645"/>
      <c r="AF88" s="649" t="s">
        <v>706</v>
      </c>
      <c r="AG88" s="975">
        <f>SUM(AG80:AG86)</f>
        <v>636.29999999999995</v>
      </c>
      <c r="AH88" s="650"/>
      <c r="AI88" s="640"/>
      <c r="AJ88" s="641"/>
      <c r="AK88" s="527">
        <f t="shared" si="112"/>
        <v>0</v>
      </c>
      <c r="AL88" s="532"/>
      <c r="AM88" s="533"/>
      <c r="AN88" s="649"/>
      <c r="AO88" s="649"/>
      <c r="AP88" s="555"/>
      <c r="AQ88" s="556"/>
      <c r="AS88" s="532"/>
      <c r="AT88" s="533"/>
      <c r="AU88" s="649"/>
      <c r="AV88" s="649"/>
      <c r="AW88" s="555"/>
      <c r="AX88" s="556"/>
      <c r="BE88" s="547">
        <f>SUM(BE76:BE83)</f>
        <v>7081987.5000000009</v>
      </c>
    </row>
    <row r="89" spans="1:60" ht="13.8" thickBot="1" x14ac:dyDescent="0.25">
      <c r="A89" s="502" t="s">
        <v>752</v>
      </c>
      <c r="B89" s="503" t="s">
        <v>148</v>
      </c>
      <c r="C89" s="528" t="s">
        <v>741</v>
      </c>
      <c r="E89" s="529">
        <v>1</v>
      </c>
      <c r="F89" s="523">
        <v>1</v>
      </c>
      <c r="G89" s="523">
        <v>1</v>
      </c>
      <c r="H89" s="523">
        <v>1</v>
      </c>
      <c r="I89" s="523">
        <v>1</v>
      </c>
      <c r="J89" s="523">
        <v>1</v>
      </c>
      <c r="K89" s="523">
        <v>1</v>
      </c>
      <c r="L89" s="523">
        <v>1</v>
      </c>
      <c r="M89" s="523">
        <v>1</v>
      </c>
      <c r="N89" s="523">
        <v>1</v>
      </c>
      <c r="O89" s="523">
        <v>1</v>
      </c>
      <c r="P89" s="639">
        <v>1</v>
      </c>
      <c r="Q89" s="523">
        <v>1</v>
      </c>
      <c r="R89" s="523">
        <v>1</v>
      </c>
      <c r="S89" s="523">
        <v>1</v>
      </c>
      <c r="T89" s="523">
        <v>1</v>
      </c>
      <c r="U89" s="523">
        <v>1</v>
      </c>
      <c r="V89" s="523">
        <v>1</v>
      </c>
      <c r="W89" s="523">
        <v>1</v>
      </c>
      <c r="X89" s="523">
        <v>1</v>
      </c>
      <c r="Y89" s="523">
        <v>1</v>
      </c>
      <c r="Z89" s="523">
        <v>1</v>
      </c>
      <c r="AA89" s="523">
        <v>1</v>
      </c>
      <c r="AB89" s="523">
        <v>1</v>
      </c>
      <c r="AC89" s="530">
        <f>COUNTA(E89:AB89)*21</f>
        <v>504</v>
      </c>
      <c r="AD89" s="531">
        <f t="shared" ref="AD89" si="182">COUNTA(E89:AB89)*21</f>
        <v>504</v>
      </c>
      <c r="AE89" s="644"/>
      <c r="AF89" s="647">
        <f>((SUM(AJ5:AJ87)+TCO!C12)/0.93*0.07-SUM('TCO TO BE- SW'!F140:F141))/AH89/AD89</f>
        <v>1.0614256049465818</v>
      </c>
      <c r="AG89" s="979">
        <f t="shared" si="150"/>
        <v>534.95850489307725</v>
      </c>
      <c r="AH89" s="648">
        <f>BE56</f>
        <v>1068</v>
      </c>
      <c r="AI89" s="640">
        <f t="shared" ref="AI89" si="183">AC89*AE89*AG89</f>
        <v>0</v>
      </c>
      <c r="AJ89" s="641">
        <f t="shared" ref="AJ89" si="184">AD89*AF89*AH89</f>
        <v>571335.68322580645</v>
      </c>
      <c r="AK89" s="527">
        <f t="shared" si="112"/>
        <v>6.8071072317908113E-2</v>
      </c>
      <c r="AL89" s="530">
        <f>COUNTA(E89:P89)*21</f>
        <v>252</v>
      </c>
      <c r="AM89" s="531">
        <f t="shared" ref="AM89" si="185">AL89</f>
        <v>252</v>
      </c>
      <c r="AN89" s="647"/>
      <c r="AO89" s="647">
        <f>AF89</f>
        <v>1.0614256049465818</v>
      </c>
      <c r="AP89" s="555">
        <f>AL89*AN89*AG89</f>
        <v>0</v>
      </c>
      <c r="AQ89" s="556">
        <f>AM89*AO89*AH89</f>
        <v>285667.84161290323</v>
      </c>
      <c r="AS89" s="530">
        <f>COUNTA(Q89:AB89)*21</f>
        <v>252</v>
      </c>
      <c r="AT89" s="531">
        <f t="shared" ref="AT89" si="186">AS89</f>
        <v>252</v>
      </c>
      <c r="AU89" s="647"/>
      <c r="AV89" s="647">
        <f t="shared" si="133"/>
        <v>1.0614256049465818</v>
      </c>
      <c r="AW89" s="555">
        <f>AS89*AU89*AG89</f>
        <v>0</v>
      </c>
      <c r="AX89" s="556">
        <f>AT89*AV89*AH89</f>
        <v>285667.84161290323</v>
      </c>
      <c r="AY89" s="547"/>
    </row>
    <row r="90" spans="1:60" ht="12.6" thickBot="1" x14ac:dyDescent="0.3">
      <c r="C90" s="535" t="s">
        <v>149</v>
      </c>
      <c r="D90" s="536"/>
      <c r="E90" s="537"/>
      <c r="F90" s="537"/>
      <c r="G90" s="537"/>
      <c r="H90" s="537"/>
      <c r="I90" s="537"/>
      <c r="J90" s="537"/>
      <c r="K90" s="537"/>
      <c r="L90" s="537"/>
      <c r="M90" s="537"/>
      <c r="N90" s="537"/>
      <c r="O90" s="537"/>
      <c r="P90" s="537"/>
      <c r="Q90" s="537"/>
      <c r="R90" s="537"/>
      <c r="S90" s="537"/>
      <c r="T90" s="537"/>
      <c r="U90" s="537"/>
      <c r="V90" s="537"/>
      <c r="W90" s="537"/>
      <c r="X90" s="537"/>
      <c r="Y90" s="537"/>
      <c r="Z90" s="537"/>
      <c r="AA90" s="537"/>
      <c r="AB90" s="537"/>
      <c r="AC90" s="538"/>
      <c r="AD90" s="538"/>
      <c r="AE90" s="538"/>
      <c r="AF90" s="538"/>
      <c r="AG90" s="557"/>
      <c r="AH90" s="557"/>
      <c r="AI90" s="642">
        <f>SUM(AI4:AI89)</f>
        <v>0</v>
      </c>
      <c r="AJ90" s="643">
        <f>SUM(AJ4:AJ89)</f>
        <v>8393222.9032258056</v>
      </c>
      <c r="AK90" s="527"/>
      <c r="AL90" s="538"/>
      <c r="AM90" s="538"/>
      <c r="AN90" s="538"/>
      <c r="AO90" s="538"/>
      <c r="AP90" s="558">
        <f>SUM(AP4:AP89)</f>
        <v>0</v>
      </c>
      <c r="AQ90" s="559">
        <f>SUM(AQ4:AQ89)</f>
        <v>3110935.6016129036</v>
      </c>
      <c r="AS90" s="538"/>
      <c r="AT90" s="538"/>
      <c r="AU90" s="538"/>
      <c r="AV90" s="538"/>
      <c r="AW90" s="558">
        <f>SUM(AW4:AW89)</f>
        <v>0</v>
      </c>
      <c r="AX90" s="559">
        <f>SUM(AX4:AX89)</f>
        <v>5282287.3016129052</v>
      </c>
    </row>
    <row r="92" spans="1:60" x14ac:dyDescent="0.2">
      <c r="C92" s="498" t="s">
        <v>380</v>
      </c>
      <c r="AJ92" s="560">
        <f>-AJ89</f>
        <v>-571335.68322580645</v>
      </c>
      <c r="AQ92" s="560">
        <f>-AQ89</f>
        <v>-285667.84161290323</v>
      </c>
      <c r="AX92" s="560">
        <f>-AX89</f>
        <v>-285667.84161290323</v>
      </c>
    </row>
    <row r="93" spans="1:60" x14ac:dyDescent="0.2">
      <c r="AJ93" s="560">
        <f>SUM(AJ90:AJ92)</f>
        <v>7821887.2199999988</v>
      </c>
      <c r="AQ93" s="560">
        <f>SUM(AQ90:AQ92)</f>
        <v>2825267.7600000002</v>
      </c>
      <c r="AX93" s="560">
        <f>SUM(AX90:AX92)</f>
        <v>4996619.4600000018</v>
      </c>
    </row>
    <row r="94" spans="1:60" x14ac:dyDescent="0.2">
      <c r="AJ94" s="561">
        <f>AJ93-SUM('TCO TO BE- SW'!F26:F35)</f>
        <v>44729.999999996275</v>
      </c>
      <c r="AK94" s="547"/>
      <c r="AQ94" s="561">
        <f>AQ93-'TCO TO BE- SW'!F26</f>
        <v>0</v>
      </c>
      <c r="AW94" s="547"/>
      <c r="AX94" s="561">
        <f>AX93-'TCO TO BE- SW'!F27</f>
        <v>44730</v>
      </c>
    </row>
    <row r="96" spans="1:60" ht="12" x14ac:dyDescent="0.25">
      <c r="C96" s="499"/>
      <c r="AJ96" s="560">
        <f>AJ90/850</f>
        <v>9874.3798861480063</v>
      </c>
    </row>
    <row r="97" spans="3:5" x14ac:dyDescent="0.2">
      <c r="D97" s="945"/>
      <c r="E97" s="974"/>
    </row>
    <row r="98" spans="3:5" x14ac:dyDescent="0.2">
      <c r="D98" s="945"/>
      <c r="E98" s="974"/>
    </row>
    <row r="99" spans="3:5" x14ac:dyDescent="0.2">
      <c r="D99" s="945"/>
      <c r="E99" s="974"/>
    </row>
    <row r="100" spans="3:5" x14ac:dyDescent="0.2">
      <c r="D100" s="945"/>
      <c r="E100" s="974"/>
    </row>
    <row r="101" spans="3:5" ht="14.4" x14ac:dyDescent="0.3">
      <c r="C101" s="977" t="s">
        <v>753</v>
      </c>
      <c r="D101" t="s">
        <v>756</v>
      </c>
      <c r="E101"/>
    </row>
    <row r="102" spans="3:5" ht="14.4" x14ac:dyDescent="0.3">
      <c r="C102" s="233" t="s">
        <v>322</v>
      </c>
      <c r="D102">
        <v>1870417.08</v>
      </c>
      <c r="E102"/>
    </row>
    <row r="103" spans="3:5" ht="14.4" x14ac:dyDescent="0.3">
      <c r="C103" s="233" t="s">
        <v>325</v>
      </c>
      <c r="D103">
        <v>29948.940000000002</v>
      </c>
      <c r="E103"/>
    </row>
    <row r="104" spans="3:5" ht="14.4" x14ac:dyDescent="0.3">
      <c r="C104" s="233" t="s">
        <v>326</v>
      </c>
      <c r="D104">
        <v>1077804</v>
      </c>
      <c r="E104"/>
    </row>
    <row r="105" spans="3:5" ht="14.4" x14ac:dyDescent="0.3">
      <c r="C105" s="233" t="s">
        <v>327</v>
      </c>
      <c r="D105">
        <v>86934.959999999992</v>
      </c>
      <c r="E105"/>
    </row>
    <row r="106" spans="3:5" ht="14.4" x14ac:dyDescent="0.3">
      <c r="C106" s="233" t="s">
        <v>148</v>
      </c>
      <c r="D106">
        <v>538272</v>
      </c>
      <c r="E106"/>
    </row>
    <row r="107" spans="3:5" ht="14.4" x14ac:dyDescent="0.3">
      <c r="C107" s="233" t="s">
        <v>324</v>
      </c>
      <c r="D107">
        <v>704697.84000000008</v>
      </c>
      <c r="E107"/>
    </row>
    <row r="108" spans="3:5" ht="14.4" x14ac:dyDescent="0.3">
      <c r="C108" s="233" t="s">
        <v>323</v>
      </c>
      <c r="D108">
        <v>4052084.4</v>
      </c>
      <c r="E108"/>
    </row>
    <row r="109" spans="3:5" ht="14.4" x14ac:dyDescent="0.3">
      <c r="C109" s="233" t="s">
        <v>754</v>
      </c>
      <c r="D109"/>
      <c r="E109"/>
    </row>
    <row r="110" spans="3:5" ht="14.4" x14ac:dyDescent="0.3">
      <c r="C110" s="233" t="s">
        <v>755</v>
      </c>
      <c r="D110">
        <v>8360159.2200000007</v>
      </c>
      <c r="E110"/>
    </row>
    <row r="111" spans="3:5" ht="14.4" x14ac:dyDescent="0.3">
      <c r="C111"/>
      <c r="D111"/>
      <c r="E111"/>
    </row>
    <row r="112" spans="3:5" ht="14.4" x14ac:dyDescent="0.3">
      <c r="C112"/>
      <c r="D112"/>
      <c r="E112"/>
    </row>
    <row r="113" spans="3:5" ht="14.4" x14ac:dyDescent="0.3">
      <c r="C113"/>
      <c r="D113"/>
      <c r="E113"/>
    </row>
    <row r="114" spans="3:5" ht="14.4" x14ac:dyDescent="0.3">
      <c r="C114"/>
      <c r="D114"/>
      <c r="E114"/>
    </row>
    <row r="115" spans="3:5" ht="14.4" x14ac:dyDescent="0.3">
      <c r="C115"/>
      <c r="D115"/>
      <c r="E115"/>
    </row>
    <row r="116" spans="3:5" ht="14.4" x14ac:dyDescent="0.3">
      <c r="C116"/>
      <c r="D116"/>
      <c r="E116"/>
    </row>
    <row r="117" spans="3:5" ht="14.4" x14ac:dyDescent="0.3">
      <c r="C117"/>
      <c r="D117"/>
      <c r="E117"/>
    </row>
    <row r="118" spans="3:5" ht="14.4" x14ac:dyDescent="0.3">
      <c r="C118"/>
      <c r="D118"/>
      <c r="E118"/>
    </row>
  </sheetData>
  <conditionalFormatting sqref="E4:AB11 E61:O84 Q61:AB84 E60:AB60">
    <cfRule type="colorScale" priority="22">
      <colorScale>
        <cfvo type="num" val="0"/>
        <cfvo type="num" val="1"/>
        <color theme="0"/>
        <color theme="2" tint="-0.249977111117893"/>
      </colorScale>
    </cfRule>
  </conditionalFormatting>
  <conditionalFormatting sqref="P61:P84">
    <cfRule type="colorScale" priority="20">
      <colorScale>
        <cfvo type="num" val="0"/>
        <cfvo type="num" val="1"/>
        <color theme="0"/>
        <color theme="2" tint="-0.249977111117893"/>
      </colorScale>
    </cfRule>
  </conditionalFormatting>
  <conditionalFormatting sqref="Q88:AB88 E88:O88">
    <cfRule type="colorScale" priority="18">
      <colorScale>
        <cfvo type="num" val="0"/>
        <cfvo type="num" val="1"/>
        <color theme="0"/>
        <color theme="2" tint="-0.249977111117893"/>
      </colorScale>
    </cfRule>
  </conditionalFormatting>
  <conditionalFormatting sqref="E89:O89 Q89:AB89">
    <cfRule type="colorScale" priority="17">
      <colorScale>
        <cfvo type="num" val="0"/>
        <cfvo type="num" val="1"/>
        <color theme="0"/>
        <color theme="2" tint="-0.249977111117893"/>
      </colorScale>
    </cfRule>
  </conditionalFormatting>
  <conditionalFormatting sqref="P88">
    <cfRule type="colorScale" priority="16">
      <colorScale>
        <cfvo type="num" val="0"/>
        <cfvo type="num" val="1"/>
        <color theme="0"/>
        <color theme="2" tint="-0.249977111117893"/>
      </colorScale>
    </cfRule>
  </conditionalFormatting>
  <conditionalFormatting sqref="P89">
    <cfRule type="colorScale" priority="15">
      <colorScale>
        <cfvo type="num" val="0"/>
        <cfvo type="num" val="1"/>
        <color theme="0"/>
        <color theme="2" tint="-0.249977111117893"/>
      </colorScale>
    </cfRule>
  </conditionalFormatting>
  <conditionalFormatting sqref="E12:AB17">
    <cfRule type="colorScale" priority="14">
      <colorScale>
        <cfvo type="num" val="0"/>
        <cfvo type="num" val="1"/>
        <color theme="0"/>
        <color theme="2" tint="-0.249977111117893"/>
      </colorScale>
    </cfRule>
  </conditionalFormatting>
  <conditionalFormatting sqref="E18:AB18">
    <cfRule type="colorScale" priority="13">
      <colorScale>
        <cfvo type="num" val="0"/>
        <cfvo type="num" val="1"/>
        <color theme="0"/>
        <color theme="2" tint="-0.249977111117893"/>
      </colorScale>
    </cfRule>
  </conditionalFormatting>
  <conditionalFormatting sqref="E19:AB24">
    <cfRule type="colorScale" priority="12">
      <colorScale>
        <cfvo type="num" val="0"/>
        <cfvo type="num" val="1"/>
        <color theme="0"/>
        <color theme="2" tint="-0.249977111117893"/>
      </colorScale>
    </cfRule>
  </conditionalFormatting>
  <conditionalFormatting sqref="E32:AB32">
    <cfRule type="colorScale" priority="9">
      <colorScale>
        <cfvo type="num" val="0"/>
        <cfvo type="num" val="1"/>
        <color theme="0"/>
        <color theme="2" tint="-0.249977111117893"/>
      </colorScale>
    </cfRule>
  </conditionalFormatting>
  <conditionalFormatting sqref="E33:AB38">
    <cfRule type="colorScale" priority="8">
      <colorScale>
        <cfvo type="num" val="0"/>
        <cfvo type="num" val="1"/>
        <color theme="0"/>
        <color theme="2" tint="-0.249977111117893"/>
      </colorScale>
    </cfRule>
  </conditionalFormatting>
  <conditionalFormatting sqref="E25:AB25">
    <cfRule type="colorScale" priority="7">
      <colorScale>
        <cfvo type="num" val="0"/>
        <cfvo type="num" val="1"/>
        <color theme="0"/>
        <color theme="2" tint="-0.249977111117893"/>
      </colorScale>
    </cfRule>
  </conditionalFormatting>
  <conditionalFormatting sqref="E26:AB31">
    <cfRule type="colorScale" priority="6">
      <colorScale>
        <cfvo type="num" val="0"/>
        <cfvo type="num" val="1"/>
        <color theme="0"/>
        <color theme="2" tint="-0.249977111117893"/>
      </colorScale>
    </cfRule>
  </conditionalFormatting>
  <conditionalFormatting sqref="E39:AB45">
    <cfRule type="colorScale" priority="5">
      <colorScale>
        <cfvo type="num" val="0"/>
        <cfvo type="num" val="1"/>
        <color theme="0"/>
        <color theme="2" tint="-0.249977111117893"/>
      </colorScale>
    </cfRule>
  </conditionalFormatting>
  <conditionalFormatting sqref="E46:AB52">
    <cfRule type="colorScale" priority="4">
      <colorScale>
        <cfvo type="num" val="0"/>
        <cfvo type="num" val="1"/>
        <color theme="0"/>
        <color theme="2" tint="-0.249977111117893"/>
      </colorScale>
    </cfRule>
  </conditionalFormatting>
  <conditionalFormatting sqref="E53:AB59">
    <cfRule type="colorScale" priority="3">
      <colorScale>
        <cfvo type="num" val="0"/>
        <cfvo type="num" val="1"/>
        <color theme="0"/>
        <color theme="2" tint="-0.249977111117893"/>
      </colorScale>
    </cfRule>
  </conditionalFormatting>
  <conditionalFormatting sqref="E85:AB87">
    <cfRule type="colorScale" priority="1">
      <colorScale>
        <cfvo type="num" val="0"/>
        <cfvo type="num" val="1"/>
        <color theme="0"/>
        <color theme="2" tint="-0.249977111117893"/>
      </colorScale>
    </cfRule>
  </conditionalFormatting>
  <pageMargins left="0.7" right="0.7" top="0.75" bottom="0.75" header="0.3" footer="0.3"/>
  <pageSetup paperSize="9" scale="38" orientation="portrait"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31"/>
  <sheetViews>
    <sheetView view="pageBreakPreview" zoomScale="90" zoomScaleNormal="100" zoomScaleSheetLayoutView="90" workbookViewId="0">
      <selection activeCell="F6" sqref="F6"/>
    </sheetView>
  </sheetViews>
  <sheetFormatPr defaultColWidth="8.88671875" defaultRowHeight="14.4" x14ac:dyDescent="0.3"/>
  <cols>
    <col min="1" max="1" width="51.44140625" customWidth="1"/>
    <col min="2" max="2" width="13.44140625" bestFit="1" customWidth="1"/>
    <col min="4" max="4" width="21.33203125" customWidth="1"/>
    <col min="5" max="5" width="18.33203125" customWidth="1"/>
    <col min="6" max="6" width="48.88671875" customWidth="1"/>
    <col min="7" max="7" width="8.88671875" style="563"/>
    <col min="8" max="8" width="10.33203125" bestFit="1" customWidth="1"/>
  </cols>
  <sheetData>
    <row r="1" spans="1:8" ht="15" thickBot="1" x14ac:dyDescent="0.35"/>
    <row r="2" spans="1:8" ht="15" thickBot="1" x14ac:dyDescent="0.35">
      <c r="A2" s="418" t="s">
        <v>277</v>
      </c>
      <c r="B2" s="418" t="s">
        <v>278</v>
      </c>
      <c r="C2" s="418" t="s">
        <v>279</v>
      </c>
      <c r="D2" s="422" t="s">
        <v>639</v>
      </c>
      <c r="E2" s="422" t="s">
        <v>649</v>
      </c>
      <c r="F2" s="418" t="s">
        <v>280</v>
      </c>
      <c r="G2" s="563" t="s">
        <v>362</v>
      </c>
    </row>
    <row r="3" spans="1:8" x14ac:dyDescent="0.3">
      <c r="A3" s="416" t="s">
        <v>320</v>
      </c>
      <c r="B3" s="419" t="s">
        <v>281</v>
      </c>
      <c r="C3" s="419">
        <v>220</v>
      </c>
      <c r="D3" s="500">
        <v>780</v>
      </c>
      <c r="E3" s="630">
        <f>C3*D3</f>
        <v>171600</v>
      </c>
      <c r="F3" s="417" t="s">
        <v>661</v>
      </c>
      <c r="G3" s="563">
        <v>2</v>
      </c>
      <c r="H3" s="632"/>
    </row>
    <row r="4" spans="1:8" x14ac:dyDescent="0.3">
      <c r="A4" s="226" t="s">
        <v>321</v>
      </c>
      <c r="B4" s="420" t="s">
        <v>281</v>
      </c>
      <c r="C4" s="420">
        <f>C3</f>
        <v>220</v>
      </c>
      <c r="D4" s="501">
        <v>54.6</v>
      </c>
      <c r="E4" s="630">
        <f>C4*D4</f>
        <v>12012</v>
      </c>
      <c r="F4" s="417" t="s">
        <v>662</v>
      </c>
      <c r="G4" s="563">
        <v>2</v>
      </c>
      <c r="H4" s="632"/>
    </row>
    <row r="5" spans="1:8" ht="55.2" x14ac:dyDescent="0.3">
      <c r="A5" s="631" t="s">
        <v>371</v>
      </c>
      <c r="B5" s="420" t="s">
        <v>281</v>
      </c>
      <c r="C5" s="420">
        <v>2</v>
      </c>
      <c r="D5" s="501">
        <v>1170</v>
      </c>
      <c r="E5" s="630">
        <f>C5*D5</f>
        <v>2340</v>
      </c>
      <c r="F5" s="417" t="s">
        <v>663</v>
      </c>
      <c r="G5" s="563">
        <v>1</v>
      </c>
      <c r="H5" s="632"/>
    </row>
    <row r="6" spans="1:8" ht="55.2" x14ac:dyDescent="0.3">
      <c r="A6" s="631" t="s">
        <v>372</v>
      </c>
      <c r="B6" s="420" t="s">
        <v>281</v>
      </c>
      <c r="C6" s="420">
        <v>8</v>
      </c>
      <c r="D6" s="501">
        <v>14040</v>
      </c>
      <c r="E6" s="630">
        <f>C6*D6</f>
        <v>112320</v>
      </c>
      <c r="F6" s="417" t="s">
        <v>664</v>
      </c>
      <c r="G6" s="563">
        <v>1</v>
      </c>
      <c r="H6" s="632"/>
    </row>
    <row r="7" spans="1:8" x14ac:dyDescent="0.3">
      <c r="A7" s="226" t="s">
        <v>373</v>
      </c>
      <c r="B7" s="420" t="s">
        <v>281</v>
      </c>
      <c r="C7" s="420">
        <v>4</v>
      </c>
      <c r="D7" s="501">
        <v>78</v>
      </c>
      <c r="E7" s="630">
        <f t="shared" ref="E7:E12" si="0">C7*D7</f>
        <v>312</v>
      </c>
      <c r="F7" s="417" t="s">
        <v>665</v>
      </c>
      <c r="G7" s="563">
        <v>1</v>
      </c>
      <c r="H7" s="632"/>
    </row>
    <row r="8" spans="1:8" x14ac:dyDescent="0.3">
      <c r="A8" s="226" t="s">
        <v>374</v>
      </c>
      <c r="B8" s="420" t="s">
        <v>281</v>
      </c>
      <c r="C8" s="420">
        <v>4</v>
      </c>
      <c r="D8" s="501">
        <v>78</v>
      </c>
      <c r="E8" s="630">
        <f t="shared" si="0"/>
        <v>312</v>
      </c>
      <c r="F8" s="417" t="s">
        <v>665</v>
      </c>
      <c r="G8" s="563">
        <v>1</v>
      </c>
      <c r="H8" s="632"/>
    </row>
    <row r="9" spans="1:8" x14ac:dyDescent="0.3">
      <c r="A9" s="226" t="s">
        <v>375</v>
      </c>
      <c r="B9" s="420" t="s">
        <v>281</v>
      </c>
      <c r="C9" s="420">
        <v>4</v>
      </c>
      <c r="D9" s="501">
        <v>78</v>
      </c>
      <c r="E9" s="630">
        <f t="shared" si="0"/>
        <v>312</v>
      </c>
      <c r="F9" s="417" t="s">
        <v>665</v>
      </c>
      <c r="G9" s="563">
        <v>1</v>
      </c>
      <c r="H9" s="632"/>
    </row>
    <row r="10" spans="1:8" x14ac:dyDescent="0.3">
      <c r="A10" s="226" t="s">
        <v>376</v>
      </c>
      <c r="B10" s="420" t="s">
        <v>281</v>
      </c>
      <c r="C10" s="420">
        <v>4</v>
      </c>
      <c r="D10" s="501">
        <v>78</v>
      </c>
      <c r="E10" s="630">
        <f t="shared" si="0"/>
        <v>312</v>
      </c>
      <c r="F10" s="417" t="s">
        <v>665</v>
      </c>
      <c r="G10" s="563">
        <v>3</v>
      </c>
      <c r="H10" s="632"/>
    </row>
    <row r="11" spans="1:8" x14ac:dyDescent="0.3">
      <c r="A11" s="226" t="s">
        <v>377</v>
      </c>
      <c r="B11" s="420" t="s">
        <v>281</v>
      </c>
      <c r="C11" s="420">
        <v>4</v>
      </c>
      <c r="D11" s="501">
        <v>78</v>
      </c>
      <c r="E11" s="630">
        <f t="shared" si="0"/>
        <v>312</v>
      </c>
      <c r="F11" s="417" t="s">
        <v>665</v>
      </c>
      <c r="G11" s="563">
        <v>4</v>
      </c>
      <c r="H11" s="632"/>
    </row>
    <row r="12" spans="1:8" x14ac:dyDescent="0.3">
      <c r="A12" s="226" t="s">
        <v>378</v>
      </c>
      <c r="B12" s="420" t="s">
        <v>281</v>
      </c>
      <c r="C12" s="420">
        <v>4</v>
      </c>
      <c r="D12" s="501">
        <v>78</v>
      </c>
      <c r="E12" s="630">
        <f t="shared" si="0"/>
        <v>312</v>
      </c>
      <c r="F12" s="417" t="s">
        <v>665</v>
      </c>
      <c r="G12" s="563">
        <v>4</v>
      </c>
      <c r="H12" s="632"/>
    </row>
    <row r="13" spans="1:8" x14ac:dyDescent="0.3">
      <c r="A13" s="226"/>
      <c r="B13" s="420"/>
      <c r="C13" s="420"/>
      <c r="D13" s="423"/>
      <c r="E13" s="421">
        <f t="shared" ref="E13:E28" si="1">D13*C13</f>
        <v>0</v>
      </c>
      <c r="F13" s="415"/>
    </row>
    <row r="14" spans="1:8" x14ac:dyDescent="0.3">
      <c r="A14" s="226"/>
      <c r="B14" s="420"/>
      <c r="C14" s="420"/>
      <c r="D14" s="423"/>
      <c r="E14" s="421">
        <f t="shared" si="1"/>
        <v>0</v>
      </c>
      <c r="F14" s="415"/>
    </row>
    <row r="15" spans="1:8" x14ac:dyDescent="0.3">
      <c r="A15" s="226"/>
      <c r="B15" s="420"/>
      <c r="C15" s="420"/>
      <c r="D15" s="423"/>
      <c r="E15" s="421">
        <f t="shared" si="1"/>
        <v>0</v>
      </c>
      <c r="F15" s="415"/>
    </row>
    <row r="16" spans="1:8" x14ac:dyDescent="0.3">
      <c r="A16" s="226"/>
      <c r="B16" s="420"/>
      <c r="C16" s="420"/>
      <c r="D16" s="423"/>
      <c r="E16" s="421">
        <f t="shared" si="1"/>
        <v>0</v>
      </c>
      <c r="F16" s="415"/>
    </row>
    <row r="17" spans="1:6" x14ac:dyDescent="0.3">
      <c r="A17" s="226"/>
      <c r="B17" s="420"/>
      <c r="C17" s="420"/>
      <c r="D17" s="423"/>
      <c r="E17" s="421">
        <f t="shared" si="1"/>
        <v>0</v>
      </c>
      <c r="F17" s="415"/>
    </row>
    <row r="18" spans="1:6" x14ac:dyDescent="0.3">
      <c r="A18" s="226"/>
      <c r="B18" s="420"/>
      <c r="C18" s="420"/>
      <c r="D18" s="423"/>
      <c r="E18" s="421">
        <f t="shared" si="1"/>
        <v>0</v>
      </c>
      <c r="F18" s="415"/>
    </row>
    <row r="19" spans="1:6" x14ac:dyDescent="0.3">
      <c r="A19" s="226"/>
      <c r="B19" s="420"/>
      <c r="C19" s="420"/>
      <c r="D19" s="423"/>
      <c r="E19" s="421">
        <f t="shared" si="1"/>
        <v>0</v>
      </c>
      <c r="F19" s="415"/>
    </row>
    <row r="20" spans="1:6" x14ac:dyDescent="0.3">
      <c r="A20" s="226"/>
      <c r="B20" s="420"/>
      <c r="C20" s="420"/>
      <c r="D20" s="423"/>
      <c r="E20" s="421">
        <f t="shared" si="1"/>
        <v>0</v>
      </c>
      <c r="F20" s="415"/>
    </row>
    <row r="21" spans="1:6" x14ac:dyDescent="0.3">
      <c r="A21" s="226"/>
      <c r="B21" s="420"/>
      <c r="C21" s="420"/>
      <c r="D21" s="423"/>
      <c r="E21" s="421">
        <f t="shared" si="1"/>
        <v>0</v>
      </c>
      <c r="F21" s="415"/>
    </row>
    <row r="22" spans="1:6" x14ac:dyDescent="0.3">
      <c r="A22" s="226"/>
      <c r="B22" s="420"/>
      <c r="C22" s="420"/>
      <c r="D22" s="423"/>
      <c r="E22" s="421">
        <f t="shared" si="1"/>
        <v>0</v>
      </c>
      <c r="F22" s="415"/>
    </row>
    <row r="23" spans="1:6" x14ac:dyDescent="0.3">
      <c r="A23" s="226"/>
      <c r="B23" s="420"/>
      <c r="C23" s="420"/>
      <c r="D23" s="423"/>
      <c r="E23" s="421">
        <f t="shared" si="1"/>
        <v>0</v>
      </c>
      <c r="F23" s="415"/>
    </row>
    <row r="24" spans="1:6" x14ac:dyDescent="0.3">
      <c r="A24" s="226"/>
      <c r="B24" s="420"/>
      <c r="C24" s="420"/>
      <c r="D24" s="423"/>
      <c r="E24" s="421">
        <f t="shared" si="1"/>
        <v>0</v>
      </c>
      <c r="F24" s="415"/>
    </row>
    <row r="25" spans="1:6" x14ac:dyDescent="0.3">
      <c r="A25" s="226"/>
      <c r="B25" s="420"/>
      <c r="C25" s="420"/>
      <c r="D25" s="423"/>
      <c r="E25" s="421">
        <f t="shared" si="1"/>
        <v>0</v>
      </c>
      <c r="F25" s="415"/>
    </row>
    <row r="26" spans="1:6" x14ac:dyDescent="0.3">
      <c r="A26" s="226"/>
      <c r="B26" s="420"/>
      <c r="C26" s="420"/>
      <c r="D26" s="423"/>
      <c r="E26" s="421">
        <f t="shared" si="1"/>
        <v>0</v>
      </c>
      <c r="F26" s="415"/>
    </row>
    <row r="27" spans="1:6" x14ac:dyDescent="0.3">
      <c r="A27" s="226"/>
      <c r="B27" s="420"/>
      <c r="C27" s="420"/>
      <c r="D27" s="423"/>
      <c r="E27" s="421">
        <f t="shared" si="1"/>
        <v>0</v>
      </c>
      <c r="F27" s="415"/>
    </row>
    <row r="28" spans="1:6" ht="15" thickBot="1" x14ac:dyDescent="0.35">
      <c r="A28" s="633"/>
      <c r="B28" s="634"/>
      <c r="C28" s="634"/>
      <c r="D28" s="635"/>
      <c r="E28" s="636">
        <f t="shared" si="1"/>
        <v>0</v>
      </c>
      <c r="F28" s="637"/>
    </row>
    <row r="30" spans="1:6" x14ac:dyDescent="0.3">
      <c r="E30" s="632">
        <f>SUM(E3:E28)</f>
        <v>300144</v>
      </c>
    </row>
    <row r="31" spans="1:6" x14ac:dyDescent="0.3">
      <c r="E31" s="638">
        <f>E30-'TCO TO BE - HW'!E3</f>
        <v>0</v>
      </c>
    </row>
  </sheetData>
  <pageMargins left="0.7" right="0.7" top="0.75" bottom="0.75" header="0.3" footer="0.3"/>
  <pageSetup paperSize="9" scale="55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D18"/>
  <sheetViews>
    <sheetView showGridLines="0" zoomScale="90" zoomScaleNormal="90" zoomScaleSheetLayoutView="70" workbookViewId="0">
      <pane ySplit="1" topLeftCell="A5" activePane="bottomLeft" state="frozen"/>
      <selection pane="bottomLeft" activeCell="A18" sqref="A18:D18"/>
    </sheetView>
  </sheetViews>
  <sheetFormatPr defaultColWidth="8.88671875" defaultRowHeight="14.4" x14ac:dyDescent="0.3"/>
  <cols>
    <col min="1" max="1" width="32.33203125" style="4" customWidth="1"/>
    <col min="2" max="2" width="66.6640625" style="4" customWidth="1"/>
    <col min="3" max="3" width="14.33203125" style="6" customWidth="1"/>
    <col min="4" max="4" width="23.44140625" style="4" customWidth="1"/>
    <col min="5" max="16384" width="8.88671875" style="4"/>
  </cols>
  <sheetData>
    <row r="1" spans="1:4" ht="15.6" thickTop="1" thickBot="1" x14ac:dyDescent="0.35">
      <c r="A1" s="1" t="s">
        <v>0</v>
      </c>
      <c r="B1" s="2" t="s">
        <v>1</v>
      </c>
      <c r="C1" s="5" t="s">
        <v>10</v>
      </c>
      <c r="D1" s="3" t="s">
        <v>2</v>
      </c>
    </row>
    <row r="2" spans="1:4" ht="147" customHeight="1" thickTop="1" thickBot="1" x14ac:dyDescent="0.35">
      <c r="A2" s="398" t="s">
        <v>3</v>
      </c>
      <c r="B2" s="399" t="s">
        <v>4</v>
      </c>
      <c r="C2" s="400" t="s">
        <v>11</v>
      </c>
      <c r="D2" s="162">
        <v>10</v>
      </c>
    </row>
    <row r="3" spans="1:4" ht="41.4" customHeight="1" x14ac:dyDescent="0.3">
      <c r="A3" s="1173" t="s">
        <v>5</v>
      </c>
      <c r="B3" s="1184" t="s">
        <v>14</v>
      </c>
      <c r="C3" s="1186" t="s">
        <v>12</v>
      </c>
      <c r="D3" s="1175">
        <v>0.04</v>
      </c>
    </row>
    <row r="4" spans="1:4" ht="63" customHeight="1" thickBot="1" x14ac:dyDescent="0.35">
      <c r="A4" s="1174"/>
      <c r="B4" s="1185"/>
      <c r="C4" s="1187"/>
      <c r="D4" s="1176"/>
    </row>
    <row r="5" spans="1:4" ht="27.6" x14ac:dyDescent="0.3">
      <c r="A5" s="1173" t="s">
        <v>6</v>
      </c>
      <c r="B5" s="401" t="s">
        <v>7</v>
      </c>
      <c r="C5" s="1186" t="s">
        <v>12</v>
      </c>
      <c r="D5" s="1177">
        <v>0.05</v>
      </c>
    </row>
    <row r="6" spans="1:4" ht="42" thickBot="1" x14ac:dyDescent="0.35">
      <c r="A6" s="1174"/>
      <c r="B6" s="399" t="s">
        <v>8</v>
      </c>
      <c r="C6" s="1187"/>
      <c r="D6" s="1178"/>
    </row>
    <row r="7" spans="1:4" ht="28.2" thickBot="1" x14ac:dyDescent="0.35">
      <c r="A7" s="402" t="s">
        <v>170</v>
      </c>
      <c r="B7" s="403" t="s">
        <v>269</v>
      </c>
      <c r="C7" s="404" t="s">
        <v>13</v>
      </c>
      <c r="D7" s="161">
        <v>1373</v>
      </c>
    </row>
    <row r="8" spans="1:4" ht="15" customHeight="1" x14ac:dyDescent="0.3">
      <c r="A8" s="1179" t="s">
        <v>9</v>
      </c>
      <c r="B8" s="1169" t="s">
        <v>274</v>
      </c>
      <c r="C8" s="1188" t="s">
        <v>15</v>
      </c>
      <c r="D8" s="1181">
        <f>$D$7*1.352/(D12/12)</f>
        <v>11.379592337164752</v>
      </c>
    </row>
    <row r="9" spans="1:4" ht="57" customHeight="1" thickBot="1" x14ac:dyDescent="0.35">
      <c r="A9" s="1180"/>
      <c r="B9" s="1183"/>
      <c r="C9" s="1189"/>
      <c r="D9" s="1182"/>
    </row>
    <row r="10" spans="1:4" x14ac:dyDescent="0.3">
      <c r="A10" s="1167" t="s">
        <v>171</v>
      </c>
      <c r="B10" s="1169" t="s">
        <v>270</v>
      </c>
      <c r="C10" s="1165" t="s">
        <v>15</v>
      </c>
      <c r="D10" s="1171">
        <v>5.55</v>
      </c>
    </row>
    <row r="11" spans="1:4" ht="20.25" customHeight="1" thickBot="1" x14ac:dyDescent="0.35">
      <c r="A11" s="1168"/>
      <c r="B11" s="1170"/>
      <c r="C11" s="1166"/>
      <c r="D11" s="1172"/>
    </row>
    <row r="12" spans="1:4" ht="72" customHeight="1" thickBot="1" x14ac:dyDescent="0.35">
      <c r="A12" s="405" t="s">
        <v>271</v>
      </c>
      <c r="B12" s="403" t="s">
        <v>276</v>
      </c>
      <c r="C12" s="406" t="s">
        <v>272</v>
      </c>
      <c r="D12" s="408">
        <v>1957.5</v>
      </c>
    </row>
    <row r="13" spans="1:4" ht="72" customHeight="1" thickBot="1" x14ac:dyDescent="0.35">
      <c r="A13" s="405" t="s">
        <v>273</v>
      </c>
      <c r="B13" s="403" t="s">
        <v>275</v>
      </c>
      <c r="C13" s="406" t="s">
        <v>272</v>
      </c>
      <c r="D13" s="407">
        <v>2088</v>
      </c>
    </row>
    <row r="14" spans="1:4" ht="21" customHeight="1" thickBot="1" x14ac:dyDescent="0.35">
      <c r="A14" s="405" t="s">
        <v>25</v>
      </c>
      <c r="B14" s="405" t="s">
        <v>110</v>
      </c>
      <c r="C14" s="406" t="s">
        <v>11</v>
      </c>
      <c r="D14" s="102">
        <v>2019</v>
      </c>
    </row>
    <row r="16" spans="1:4" x14ac:dyDescent="0.3">
      <c r="A16" s="4" t="s">
        <v>648</v>
      </c>
      <c r="C16" s="6" t="s">
        <v>12</v>
      </c>
      <c r="D16" s="925">
        <v>0.2</v>
      </c>
    </row>
    <row r="17" spans="1:4" x14ac:dyDescent="0.3">
      <c r="A17" s="4" t="s">
        <v>759</v>
      </c>
      <c r="C17" s="6" t="s">
        <v>12</v>
      </c>
      <c r="D17" s="925">
        <v>0.05</v>
      </c>
    </row>
    <row r="18" spans="1:4" x14ac:dyDescent="0.3">
      <c r="A18" s="1046" t="s">
        <v>780</v>
      </c>
      <c r="B18" s="1045"/>
      <c r="C18" s="1047" t="s">
        <v>12</v>
      </c>
      <c r="D18" s="1048">
        <v>0.4</v>
      </c>
    </row>
  </sheetData>
  <mergeCells count="15">
    <mergeCell ref="C10:C11"/>
    <mergeCell ref="A10:A11"/>
    <mergeCell ref="B10:B11"/>
    <mergeCell ref="D10:D11"/>
    <mergeCell ref="A3:A4"/>
    <mergeCell ref="D3:D4"/>
    <mergeCell ref="A5:A6"/>
    <mergeCell ref="D5:D6"/>
    <mergeCell ref="A8:A9"/>
    <mergeCell ref="D8:D9"/>
    <mergeCell ref="B8:B9"/>
    <mergeCell ref="B3:B4"/>
    <mergeCell ref="C3:C4"/>
    <mergeCell ref="C8:C9"/>
    <mergeCell ref="C5:C6"/>
  </mergeCells>
  <pageMargins left="0.7" right="0.7" top="0.75" bottom="0.75" header="0.3" footer="0.3"/>
  <pageSetup paperSize="9" scale="63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7"/>
  <sheetViews>
    <sheetView view="pageBreakPreview" zoomScale="60" zoomScaleNormal="60" workbookViewId="0">
      <selection activeCell="H12" sqref="H12"/>
    </sheetView>
  </sheetViews>
  <sheetFormatPr defaultColWidth="8.88671875" defaultRowHeight="14.4" x14ac:dyDescent="0.3"/>
  <sheetData>
    <row r="1" spans="1:15" x14ac:dyDescent="0.3">
      <c r="A1" t="s">
        <v>209</v>
      </c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</row>
    <row r="2" spans="1:15" x14ac:dyDescent="0.3"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</row>
    <row r="3" spans="1:15" x14ac:dyDescent="0.3">
      <c r="A3" s="228" t="s">
        <v>210</v>
      </c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</row>
    <row r="4" spans="1:15" x14ac:dyDescent="0.3">
      <c r="A4" t="s">
        <v>316</v>
      </c>
    </row>
    <row r="6" spans="1:15" x14ac:dyDescent="0.3">
      <c r="A6" s="229" t="s">
        <v>156</v>
      </c>
    </row>
    <row r="7" spans="1:15" x14ac:dyDescent="0.3">
      <c r="A7" t="s">
        <v>316</v>
      </c>
    </row>
  </sheetData>
  <pageMargins left="0.7" right="0.7" top="0.75" bottom="0.75" header="0.3" footer="0.3"/>
  <pageSetup paperSize="9" scale="33" orientation="portrait" r:id="rId1"/>
  <rowBreaks count="1" manualBreakCount="1">
    <brk id="5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119"/>
  <sheetViews>
    <sheetView showGridLines="0" zoomScale="60" zoomScaleNormal="60" zoomScaleSheetLayoutView="90" workbookViewId="0">
      <pane xSplit="3" ySplit="2" topLeftCell="P3" activePane="bottomRight" state="frozen"/>
      <selection pane="topRight" activeCell="C1" sqref="C1"/>
      <selection pane="bottomLeft" activeCell="A3" sqref="A3"/>
      <selection pane="bottomRight" activeCell="B47" sqref="B47"/>
    </sheetView>
  </sheetViews>
  <sheetFormatPr defaultColWidth="8.88671875" defaultRowHeight="14.4" x14ac:dyDescent="0.3"/>
  <cols>
    <col min="2" max="2" width="21.44140625" customWidth="1"/>
    <col min="3" max="3" width="41.109375" customWidth="1"/>
    <col min="4" max="4" width="14.33203125" style="227" customWidth="1"/>
    <col min="5" max="5" width="14.109375" style="227" customWidth="1"/>
    <col min="6" max="6" width="14.88671875" style="227" customWidth="1"/>
    <col min="7" max="8" width="16.6640625" style="227" customWidth="1"/>
    <col min="9" max="16" width="14.88671875" style="227" customWidth="1"/>
    <col min="17" max="17" width="17.109375" style="227" customWidth="1"/>
    <col min="18" max="22" width="14.88671875" style="227" customWidth="1"/>
    <col min="23" max="23" width="16.88671875" style="227" customWidth="1"/>
    <col min="24" max="26" width="14.88671875" style="227" customWidth="1"/>
    <col min="27" max="27" width="12" style="227" customWidth="1"/>
    <col min="28" max="29" width="14.88671875" style="227" customWidth="1"/>
    <col min="30" max="30" width="10.6640625" style="227" customWidth="1"/>
    <col min="31" max="31" width="8" style="227" customWidth="1"/>
    <col min="32" max="32" width="13.5546875" style="227" customWidth="1"/>
    <col min="33" max="33" width="11.88671875" style="227" customWidth="1"/>
    <col min="34" max="34" width="9.6640625" style="227" customWidth="1"/>
    <col min="35" max="35" width="10.88671875" style="227" customWidth="1"/>
    <col min="36" max="36" width="11.109375" style="227" customWidth="1"/>
    <col min="37" max="51" width="8.44140625" style="227" customWidth="1"/>
  </cols>
  <sheetData>
    <row r="1" spans="1:52" ht="15" thickBot="1" x14ac:dyDescent="0.35">
      <c r="C1" s="227"/>
      <c r="E1" s="727"/>
      <c r="F1" s="727"/>
      <c r="G1" s="727"/>
      <c r="H1" s="727"/>
      <c r="I1" s="727"/>
      <c r="J1" s="727"/>
      <c r="K1" s="727"/>
      <c r="L1" s="727"/>
      <c r="M1" s="727"/>
      <c r="N1" s="727"/>
      <c r="O1" s="727"/>
      <c r="P1" s="727"/>
      <c r="Q1" s="727"/>
      <c r="R1" s="727"/>
      <c r="S1" s="727"/>
      <c r="T1" s="727"/>
      <c r="U1" s="727"/>
      <c r="V1" s="727"/>
      <c r="W1" s="727"/>
      <c r="X1" s="727"/>
      <c r="Y1" s="727"/>
      <c r="Z1" s="727"/>
      <c r="AA1" s="727"/>
      <c r="AB1" s="727"/>
      <c r="AC1" s="727"/>
      <c r="AD1" s="727"/>
      <c r="AE1" s="727"/>
      <c r="AF1" s="727"/>
      <c r="AG1" s="727"/>
      <c r="AH1" s="727"/>
      <c r="AI1" s="727"/>
      <c r="AJ1" s="727"/>
    </row>
    <row r="2" spans="1:52" s="717" customFormat="1" ht="77.400000000000006" customHeight="1" thickBot="1" x14ac:dyDescent="0.35">
      <c r="A2" s="777"/>
      <c r="B2" s="230" t="s">
        <v>211</v>
      </c>
      <c r="C2" s="713" t="s">
        <v>524</v>
      </c>
      <c r="D2" s="714" t="s">
        <v>576</v>
      </c>
      <c r="E2" s="714" t="s">
        <v>577</v>
      </c>
      <c r="F2" s="714" t="s">
        <v>578</v>
      </c>
      <c r="G2" s="714" t="s">
        <v>579</v>
      </c>
      <c r="H2" s="714" t="s">
        <v>580</v>
      </c>
      <c r="I2" s="714" t="s">
        <v>581</v>
      </c>
      <c r="J2" s="714" t="s">
        <v>582</v>
      </c>
      <c r="K2" s="714" t="s">
        <v>583</v>
      </c>
      <c r="L2" s="714" t="s">
        <v>584</v>
      </c>
      <c r="M2" s="714" t="s">
        <v>585</v>
      </c>
      <c r="N2" s="714" t="s">
        <v>586</v>
      </c>
      <c r="O2" s="714" t="s">
        <v>587</v>
      </c>
      <c r="P2" s="714" t="s">
        <v>588</v>
      </c>
      <c r="Q2" s="714" t="s">
        <v>589</v>
      </c>
      <c r="R2" s="714" t="s">
        <v>527</v>
      </c>
      <c r="S2" s="714" t="s">
        <v>528</v>
      </c>
      <c r="T2" s="714" t="s">
        <v>590</v>
      </c>
      <c r="U2" s="714" t="s">
        <v>543</v>
      </c>
      <c r="V2" s="714" t="s">
        <v>591</v>
      </c>
      <c r="W2" s="714" t="s">
        <v>592</v>
      </c>
      <c r="X2" s="714" t="s">
        <v>593</v>
      </c>
      <c r="Y2" s="714" t="s">
        <v>597</v>
      </c>
      <c r="Z2" s="714" t="s">
        <v>594</v>
      </c>
      <c r="AA2" s="714" t="s">
        <v>595</v>
      </c>
      <c r="AB2" s="728" t="s">
        <v>599</v>
      </c>
      <c r="AC2" s="728" t="s">
        <v>596</v>
      </c>
      <c r="AD2" s="744" t="s">
        <v>551</v>
      </c>
      <c r="AE2" s="728" t="s">
        <v>317</v>
      </c>
      <c r="AF2" s="900" t="s">
        <v>603</v>
      </c>
      <c r="AG2" s="910" t="s">
        <v>598</v>
      </c>
      <c r="AH2" s="714" t="s">
        <v>529</v>
      </c>
      <c r="AI2" s="728" t="s">
        <v>530</v>
      </c>
      <c r="AJ2" s="755" t="s">
        <v>531</v>
      </c>
      <c r="AK2" s="711"/>
      <c r="AL2" s="194"/>
      <c r="AM2" s="716"/>
      <c r="AN2" s="716"/>
      <c r="AO2" s="716"/>
      <c r="AP2" s="716"/>
      <c r="AQ2" s="716"/>
      <c r="AR2" s="716"/>
      <c r="AS2" s="716"/>
      <c r="AT2" s="716"/>
      <c r="AU2" s="716"/>
      <c r="AV2" s="716"/>
      <c r="AW2" s="716"/>
      <c r="AX2" s="716"/>
      <c r="AY2" s="716"/>
      <c r="AZ2" s="716"/>
    </row>
    <row r="3" spans="1:52" x14ac:dyDescent="0.3">
      <c r="A3" s="159"/>
      <c r="B3" s="723"/>
      <c r="C3" s="724"/>
      <c r="D3" s="730" t="s">
        <v>525</v>
      </c>
      <c r="E3" s="729" t="s">
        <v>525</v>
      </c>
      <c r="F3" s="729" t="s">
        <v>525</v>
      </c>
      <c r="G3" s="733" t="s">
        <v>525</v>
      </c>
      <c r="H3" s="733" t="s">
        <v>525</v>
      </c>
      <c r="I3" s="733" t="s">
        <v>525</v>
      </c>
      <c r="J3" s="733" t="s">
        <v>525</v>
      </c>
      <c r="K3" s="733" t="s">
        <v>525</v>
      </c>
      <c r="L3" s="733" t="s">
        <v>525</v>
      </c>
      <c r="M3" s="733" t="s">
        <v>525</v>
      </c>
      <c r="N3" s="733" t="s">
        <v>525</v>
      </c>
      <c r="O3" s="733" t="s">
        <v>525</v>
      </c>
      <c r="P3" s="733" t="s">
        <v>525</v>
      </c>
      <c r="Q3" s="733" t="s">
        <v>525</v>
      </c>
      <c r="R3" s="733" t="s">
        <v>525</v>
      </c>
      <c r="S3" s="733" t="s">
        <v>525</v>
      </c>
      <c r="T3" s="733" t="s">
        <v>525</v>
      </c>
      <c r="U3" s="733" t="s">
        <v>525</v>
      </c>
      <c r="V3" s="733" t="s">
        <v>525</v>
      </c>
      <c r="W3" s="733" t="s">
        <v>525</v>
      </c>
      <c r="X3" s="733" t="s">
        <v>525</v>
      </c>
      <c r="Y3" s="733" t="s">
        <v>525</v>
      </c>
      <c r="Z3" s="733" t="s">
        <v>525</v>
      </c>
      <c r="AA3" s="733" t="s">
        <v>525</v>
      </c>
      <c r="AB3" s="729" t="s">
        <v>525</v>
      </c>
      <c r="AC3" s="729" t="s">
        <v>525</v>
      </c>
      <c r="AD3" s="772" t="s">
        <v>525</v>
      </c>
      <c r="AE3" s="731"/>
      <c r="AF3" s="901"/>
      <c r="AG3" s="911"/>
      <c r="AH3" s="754">
        <f>AH4/AG4</f>
        <v>0.33847311019180143</v>
      </c>
      <c r="AI3" s="731"/>
      <c r="AJ3" s="756"/>
      <c r="AL3" s="232"/>
      <c r="AM3"/>
      <c r="AZ3" s="227"/>
    </row>
    <row r="4" spans="1:52" ht="15" thickBot="1" x14ac:dyDescent="0.35">
      <c r="A4" s="159"/>
      <c r="B4" s="734" t="s">
        <v>158</v>
      </c>
      <c r="C4" s="751" t="s">
        <v>533</v>
      </c>
      <c r="D4" s="768">
        <f t="shared" ref="D4:AC4" si="0">D5*$AG5/$AG4+D25*$AG25/$AG4+D48*$AG48/$AG4+D71*$AG71/$AG4+D85*$AG85/$AG4+D102*$AG102/$AG4</f>
        <v>0</v>
      </c>
      <c r="E4" s="768">
        <f t="shared" si="0"/>
        <v>0.65003051437553627</v>
      </c>
      <c r="F4" s="768">
        <f t="shared" si="0"/>
        <v>0.45355509364873114</v>
      </c>
      <c r="G4" s="768">
        <f t="shared" si="0"/>
        <v>10.712880304507348</v>
      </c>
      <c r="H4" s="768">
        <f t="shared" si="0"/>
        <v>0</v>
      </c>
      <c r="I4" s="768">
        <f t="shared" si="0"/>
        <v>0</v>
      </c>
      <c r="J4" s="768">
        <f t="shared" si="0"/>
        <v>0</v>
      </c>
      <c r="K4" s="768">
        <f t="shared" si="0"/>
        <v>0</v>
      </c>
      <c r="L4" s="768">
        <f t="shared" si="0"/>
        <v>0.3864365384217745</v>
      </c>
      <c r="M4" s="768">
        <f t="shared" si="0"/>
        <v>1.1399485677350811</v>
      </c>
      <c r="N4" s="768">
        <f t="shared" si="0"/>
        <v>0</v>
      </c>
      <c r="O4" s="768">
        <f t="shared" si="0"/>
        <v>0</v>
      </c>
      <c r="P4" s="768">
        <f t="shared" si="0"/>
        <v>6.01743228092898</v>
      </c>
      <c r="Q4" s="768">
        <f t="shared" si="0"/>
        <v>0</v>
      </c>
      <c r="R4" s="768">
        <f t="shared" si="0"/>
        <v>10.040077354040754</v>
      </c>
      <c r="S4" s="768">
        <f t="shared" si="0"/>
        <v>12.860770996786981</v>
      </c>
      <c r="T4" s="768">
        <f t="shared" si="0"/>
        <v>4.1249690824133909</v>
      </c>
      <c r="U4" s="768">
        <f t="shared" si="0"/>
        <v>3.439891780497832</v>
      </c>
      <c r="V4" s="768">
        <f t="shared" si="0"/>
        <v>1.9588820144323</v>
      </c>
      <c r="W4" s="768">
        <f t="shared" si="0"/>
        <v>0.49769505552059923</v>
      </c>
      <c r="X4" s="768">
        <f t="shared" si="0"/>
        <v>0</v>
      </c>
      <c r="Y4" s="768">
        <f t="shared" si="0"/>
        <v>4.4469543958317796</v>
      </c>
      <c r="Z4" s="768">
        <f t="shared" si="0"/>
        <v>4.8311656546701207E-2</v>
      </c>
      <c r="AA4" s="768">
        <f t="shared" si="0"/>
        <v>6.3396667606508722E-2</v>
      </c>
      <c r="AB4" s="768">
        <f t="shared" si="0"/>
        <v>0.36905226778606942</v>
      </c>
      <c r="AC4" s="768">
        <f t="shared" si="0"/>
        <v>7.4013314702302502</v>
      </c>
      <c r="AD4" s="825">
        <f>SUM(D4:AC4)</f>
        <v>64.611616041310626</v>
      </c>
      <c r="AE4" s="833">
        <f t="shared" ref="AE4:AJ4" si="1">AE5+AE25+AE48+AE71+AE85+AE102</f>
        <v>2350</v>
      </c>
      <c r="AF4" s="902">
        <f t="shared" si="1"/>
        <v>309</v>
      </c>
      <c r="AG4" s="912">
        <f t="shared" si="1"/>
        <v>2659</v>
      </c>
      <c r="AH4" s="904">
        <f t="shared" si="1"/>
        <v>900</v>
      </c>
      <c r="AI4" s="738">
        <f t="shared" si="1"/>
        <v>584</v>
      </c>
      <c r="AJ4" s="759">
        <f t="shared" si="1"/>
        <v>95</v>
      </c>
      <c r="AL4" s="232"/>
      <c r="AM4"/>
      <c r="AZ4" s="227"/>
    </row>
    <row r="5" spans="1:52" x14ac:dyDescent="0.3">
      <c r="A5" s="159"/>
      <c r="B5" s="542" t="s">
        <v>544</v>
      </c>
      <c r="C5" s="752" t="s">
        <v>563</v>
      </c>
      <c r="D5" s="730">
        <f t="shared" ref="D5:G5" si="2">D8*$AG8/($AG5-$AG24)+D11*$AG11/($AG5-$AG24)+D14*$AG14/($AG5-$AG24)+D17*$AG17/($AG5-$AG24)+D20*$AG20/($AG5-$AG24)+D23*$AG23/($AG5-$AG24)</f>
        <v>0</v>
      </c>
      <c r="E5" s="730">
        <f t="shared" si="2"/>
        <v>0</v>
      </c>
      <c r="F5" s="730">
        <f t="shared" si="2"/>
        <v>0.40802675585284282</v>
      </c>
      <c r="G5" s="729">
        <f t="shared" si="2"/>
        <v>12.073461146967036</v>
      </c>
      <c r="H5" s="799"/>
      <c r="I5" s="799"/>
      <c r="J5" s="799"/>
      <c r="K5" s="799"/>
      <c r="L5" s="799"/>
      <c r="M5" s="730"/>
      <c r="N5" s="730">
        <f>N8*$AG8/($AG5-$AG24)+N11*$AG11/($AG5-$AG24)+N14*$AG14/($AG5-$AG24)+N17*$AG17/($AG5-$AG24)+N20*$AG20/($AG5-$AG24)</f>
        <v>0</v>
      </c>
      <c r="O5" s="730"/>
      <c r="P5" s="730">
        <f t="shared" ref="P5:AA5" si="3">P8*$AG8/($AG5-$AG24)+P11*$AG11/($AG5-$AG24)+P14*$AG14/($AG5-$AG24)+P17*$AG17/($AG5-$AG24)+P20*$AG20/($AG5-$AG24)+P23*$AG23/($AG5-$AG24)</f>
        <v>10.903010033444817</v>
      </c>
      <c r="Q5" s="730">
        <f t="shared" si="3"/>
        <v>0</v>
      </c>
      <c r="R5" s="730">
        <f t="shared" si="3"/>
        <v>16.187290969899664</v>
      </c>
      <c r="S5" s="730">
        <f t="shared" si="3"/>
        <v>17.578595317725753</v>
      </c>
      <c r="T5" s="730">
        <f t="shared" si="3"/>
        <v>4.7792642140468224</v>
      </c>
      <c r="U5" s="730">
        <f t="shared" si="3"/>
        <v>4.6287625418060205</v>
      </c>
      <c r="V5" s="730">
        <f t="shared" si="3"/>
        <v>5.5777591973244158</v>
      </c>
      <c r="W5" s="730">
        <f t="shared" si="3"/>
        <v>1.1839464882943145</v>
      </c>
      <c r="X5" s="730">
        <f t="shared" si="3"/>
        <v>0</v>
      </c>
      <c r="Y5" s="730">
        <f t="shared" si="3"/>
        <v>7.1036789297658851</v>
      </c>
      <c r="Z5" s="730">
        <f t="shared" si="3"/>
        <v>0.12709030100334448</v>
      </c>
      <c r="AA5" s="730">
        <f t="shared" si="3"/>
        <v>6.354515050167224E-2</v>
      </c>
      <c r="AB5" s="730">
        <f>AB8*$AG8/($AG5-$AG24)+AB11*$AG11/($AG5-$AG24)+AB14*$AG14/($AG5-$AG24)+AB17*$AG17/($AG5-$AG24)+AB20*$AG20/($AG5-$AG24)+AB23*$AG23/($AG5-$AG24)</f>
        <v>0.63545150501672243</v>
      </c>
      <c r="AC5" s="730">
        <f>AC8*$AG8/($AG5-$AG24)+AC11*$AG11/($AG5-$AG24)+AC14*$AG14/($AG5-$AG24)+AC17*$AG17/($AG5-$AG24)+AC20*$AG20/($AG5-$AG24)+AC23*$AG23/($AG5-$AG24)</f>
        <v>1.7792642140468229</v>
      </c>
      <c r="AD5" s="826">
        <f>SUM(D5:AC5)</f>
        <v>83.029146765696126</v>
      </c>
      <c r="AE5" s="988">
        <f t="shared" ref="AE5:AJ5" si="4">SUM(AE6:AE24)</f>
        <v>462</v>
      </c>
      <c r="AF5" s="989">
        <f t="shared" si="4"/>
        <v>136</v>
      </c>
      <c r="AG5" s="911">
        <f t="shared" si="4"/>
        <v>598</v>
      </c>
      <c r="AH5" s="905">
        <f t="shared" si="4"/>
        <v>248</v>
      </c>
      <c r="AI5" s="731">
        <f t="shared" si="4"/>
        <v>177</v>
      </c>
      <c r="AJ5" s="756">
        <f t="shared" si="4"/>
        <v>19</v>
      </c>
      <c r="AL5" s="232"/>
      <c r="AM5"/>
      <c r="AZ5" s="227"/>
    </row>
    <row r="6" spans="1:52" ht="31.95" customHeight="1" x14ac:dyDescent="0.3">
      <c r="A6" s="159">
        <v>1</v>
      </c>
      <c r="B6" s="736" t="str">
        <f>"Meranie č. "&amp;A6</f>
        <v>Meranie č. 1</v>
      </c>
      <c r="C6" s="1014" t="s">
        <v>609</v>
      </c>
      <c r="D6" s="779">
        <v>0</v>
      </c>
      <c r="E6" s="737">
        <v>2</v>
      </c>
      <c r="F6" s="737">
        <v>2</v>
      </c>
      <c r="G6" s="737">
        <v>12</v>
      </c>
      <c r="H6" s="737" t="s">
        <v>568</v>
      </c>
      <c r="I6" s="737" t="s">
        <v>568</v>
      </c>
      <c r="J6" s="737" t="s">
        <v>568</v>
      </c>
      <c r="K6" s="737" t="s">
        <v>568</v>
      </c>
      <c r="L6" s="737" t="s">
        <v>568</v>
      </c>
      <c r="M6" s="737" t="s">
        <v>568</v>
      </c>
      <c r="N6" s="737">
        <v>0</v>
      </c>
      <c r="O6" s="737" t="s">
        <v>572</v>
      </c>
      <c r="P6" s="737">
        <v>16</v>
      </c>
      <c r="Q6" s="737">
        <v>0</v>
      </c>
      <c r="R6" s="737">
        <v>24</v>
      </c>
      <c r="S6" s="737">
        <v>24</v>
      </c>
      <c r="T6" s="737">
        <v>16</v>
      </c>
      <c r="U6" s="737">
        <v>8</v>
      </c>
      <c r="V6" s="737">
        <v>8</v>
      </c>
      <c r="W6" s="737">
        <v>4</v>
      </c>
      <c r="X6" s="737">
        <v>4</v>
      </c>
      <c r="Y6" s="737">
        <v>24</v>
      </c>
      <c r="Z6" s="737">
        <v>4</v>
      </c>
      <c r="AA6" s="737">
        <v>2</v>
      </c>
      <c r="AB6" s="737">
        <v>20</v>
      </c>
      <c r="AC6" s="737">
        <v>56</v>
      </c>
      <c r="AD6" s="827">
        <f>SUM(D6:AC6)</f>
        <v>226</v>
      </c>
      <c r="AE6" s="990"/>
      <c r="AF6" s="991"/>
      <c r="AG6" s="912"/>
      <c r="AH6" s="904"/>
      <c r="AI6" s="738"/>
      <c r="AJ6" s="759"/>
      <c r="AL6" s="232"/>
      <c r="AZ6" s="227"/>
    </row>
    <row r="7" spans="1:52" x14ac:dyDescent="0.3">
      <c r="A7" s="159"/>
      <c r="B7" s="734"/>
      <c r="C7" s="718" t="s">
        <v>532</v>
      </c>
      <c r="D7" s="780">
        <v>0</v>
      </c>
      <c r="E7" s="783">
        <v>0</v>
      </c>
      <c r="F7" s="783">
        <v>0</v>
      </c>
      <c r="G7" s="783">
        <v>1</v>
      </c>
      <c r="H7" s="783"/>
      <c r="I7" s="783"/>
      <c r="J7" s="783"/>
      <c r="K7" s="783"/>
      <c r="L7" s="783"/>
      <c r="M7" s="783"/>
      <c r="N7" s="783">
        <v>0</v>
      </c>
      <c r="O7" s="783"/>
      <c r="P7" s="783">
        <v>1</v>
      </c>
      <c r="Q7" s="783">
        <v>0</v>
      </c>
      <c r="R7" s="783">
        <f>AH8/AG8</f>
        <v>0.36734693877551022</v>
      </c>
      <c r="S7" s="783">
        <f>1-R7</f>
        <v>0.63265306122448983</v>
      </c>
      <c r="T7" s="783">
        <f>$R7</f>
        <v>0.36734693877551022</v>
      </c>
      <c r="U7" s="783">
        <f>$S7</f>
        <v>0.63265306122448983</v>
      </c>
      <c r="V7" s="783">
        <v>1</v>
      </c>
      <c r="W7" s="783">
        <f>AI8/AG8</f>
        <v>0.25510204081632654</v>
      </c>
      <c r="X7" s="783">
        <v>0</v>
      </c>
      <c r="Y7" s="783">
        <f>W7</f>
        <v>0.25510204081632654</v>
      </c>
      <c r="Z7" s="783">
        <f>AJ8/AG8</f>
        <v>5.1020408163265307E-2</v>
      </c>
      <c r="AA7" s="783">
        <f>$Z7</f>
        <v>5.1020408163265307E-2</v>
      </c>
      <c r="AB7" s="783">
        <f>$AA7</f>
        <v>5.1020408163265307E-2</v>
      </c>
      <c r="AC7" s="783">
        <f>$AA7</f>
        <v>5.1020408163265307E-2</v>
      </c>
      <c r="AD7" s="828"/>
      <c r="AE7" s="992"/>
      <c r="AF7" s="993"/>
      <c r="AG7" s="913"/>
      <c r="AH7" s="906"/>
      <c r="AI7" s="781"/>
      <c r="AJ7" s="782"/>
      <c r="AL7" s="232"/>
      <c r="AM7" s="233"/>
      <c r="AZ7" s="227"/>
    </row>
    <row r="8" spans="1:52" x14ac:dyDescent="0.3">
      <c r="A8" s="159"/>
      <c r="B8" s="231"/>
      <c r="C8" s="718" t="s">
        <v>600</v>
      </c>
      <c r="D8" s="784">
        <f>D6*D7</f>
        <v>0</v>
      </c>
      <c r="E8" s="785">
        <f t="shared" ref="E8:AC8" si="5">E6*E7</f>
        <v>0</v>
      </c>
      <c r="F8" s="785">
        <f t="shared" si="5"/>
        <v>0</v>
      </c>
      <c r="G8" s="785">
        <f t="shared" si="5"/>
        <v>12</v>
      </c>
      <c r="H8" s="785"/>
      <c r="I8" s="785"/>
      <c r="J8" s="785"/>
      <c r="K8" s="785"/>
      <c r="L8" s="785"/>
      <c r="M8" s="785"/>
      <c r="N8" s="785">
        <f t="shared" si="5"/>
        <v>0</v>
      </c>
      <c r="O8" s="785"/>
      <c r="P8" s="785">
        <f t="shared" si="5"/>
        <v>16</v>
      </c>
      <c r="Q8" s="785">
        <f t="shared" si="5"/>
        <v>0</v>
      </c>
      <c r="R8" s="785">
        <f t="shared" si="5"/>
        <v>8.8163265306122458</v>
      </c>
      <c r="S8" s="785">
        <f t="shared" si="5"/>
        <v>15.183673469387756</v>
      </c>
      <c r="T8" s="785">
        <f t="shared" si="5"/>
        <v>5.8775510204081636</v>
      </c>
      <c r="U8" s="785">
        <f t="shared" si="5"/>
        <v>5.0612244897959187</v>
      </c>
      <c r="V8" s="785">
        <f t="shared" si="5"/>
        <v>8</v>
      </c>
      <c r="W8" s="785">
        <f t="shared" si="5"/>
        <v>1.0204081632653061</v>
      </c>
      <c r="X8" s="785">
        <f t="shared" si="5"/>
        <v>0</v>
      </c>
      <c r="Y8" s="785">
        <f t="shared" si="5"/>
        <v>6.1224489795918373</v>
      </c>
      <c r="Z8" s="785">
        <f t="shared" si="5"/>
        <v>0.20408163265306123</v>
      </c>
      <c r="AA8" s="785">
        <f t="shared" si="5"/>
        <v>0.10204081632653061</v>
      </c>
      <c r="AB8" s="785">
        <f t="shared" si="5"/>
        <v>1.0204081632653061</v>
      </c>
      <c r="AC8" s="785">
        <f t="shared" si="5"/>
        <v>2.8571428571428572</v>
      </c>
      <c r="AD8" s="829">
        <f>SUM(D8:AC8)</f>
        <v>82.265306122448976</v>
      </c>
      <c r="AE8" s="994">
        <v>119</v>
      </c>
      <c r="AF8" s="995">
        <f>ROUND(AE8/SUM(AE$6:AE$11)*135,0)</f>
        <v>77</v>
      </c>
      <c r="AG8" s="914">
        <f>SUM(AE8:AF8)</f>
        <v>196</v>
      </c>
      <c r="AH8" s="907">
        <f>-ROUND(AG8/SUM(AG$6:AG$11)*SUM(-248,AH$12:AH$20),0)</f>
        <v>72</v>
      </c>
      <c r="AI8" s="786">
        <f>-ROUND(AH8/SUM(AH$6:AH$14)*SUM(-177,AI$18:AI$24),0)</f>
        <v>50</v>
      </c>
      <c r="AJ8" s="787">
        <f>ROUND(AI8/SUM(AI$6:AI$11,AI$20)*19,0)</f>
        <v>10</v>
      </c>
      <c r="AL8" s="232"/>
      <c r="AM8" s="233"/>
      <c r="AZ8" s="227"/>
    </row>
    <row r="9" spans="1:52" ht="31.95" customHeight="1" x14ac:dyDescent="0.3">
      <c r="A9" s="159">
        <f ca="1">OFFSET(A9,-3,0)+1</f>
        <v>2</v>
      </c>
      <c r="B9" s="736" t="str">
        <f ca="1">"Meranie č. "&amp;A9</f>
        <v>Meranie č. 2</v>
      </c>
      <c r="C9" s="1014" t="s">
        <v>610</v>
      </c>
      <c r="D9" s="779">
        <v>0</v>
      </c>
      <c r="E9" s="737">
        <v>2</v>
      </c>
      <c r="F9" s="737">
        <v>2</v>
      </c>
      <c r="G9" s="737">
        <v>12</v>
      </c>
      <c r="H9" s="737" t="s">
        <v>568</v>
      </c>
      <c r="I9" s="737" t="s">
        <v>568</v>
      </c>
      <c r="J9" s="737" t="s">
        <v>568</v>
      </c>
      <c r="K9" s="737" t="s">
        <v>568</v>
      </c>
      <c r="L9" s="737" t="s">
        <v>568</v>
      </c>
      <c r="M9" s="737" t="s">
        <v>568</v>
      </c>
      <c r="N9" s="737">
        <v>0</v>
      </c>
      <c r="O9" s="737" t="s">
        <v>572</v>
      </c>
      <c r="P9" s="737">
        <v>16</v>
      </c>
      <c r="Q9" s="737">
        <v>0</v>
      </c>
      <c r="R9" s="737">
        <v>24</v>
      </c>
      <c r="S9" s="737">
        <v>24</v>
      </c>
      <c r="T9" s="737">
        <v>16</v>
      </c>
      <c r="U9" s="737">
        <v>8</v>
      </c>
      <c r="V9" s="737">
        <v>8</v>
      </c>
      <c r="W9" s="737">
        <v>4</v>
      </c>
      <c r="X9" s="737">
        <v>4</v>
      </c>
      <c r="Y9" s="737">
        <v>24</v>
      </c>
      <c r="Z9" s="737">
        <v>4</v>
      </c>
      <c r="AA9" s="737">
        <v>2</v>
      </c>
      <c r="AB9" s="737">
        <v>20</v>
      </c>
      <c r="AC9" s="737">
        <v>56</v>
      </c>
      <c r="AD9" s="827">
        <f>SUM(D9:AC9)</f>
        <v>226</v>
      </c>
      <c r="AE9" s="990"/>
      <c r="AF9" s="991"/>
      <c r="AG9" s="912"/>
      <c r="AH9" s="904"/>
      <c r="AI9" s="738"/>
      <c r="AJ9" s="759"/>
      <c r="AL9" s="232"/>
      <c r="AZ9" s="227"/>
    </row>
    <row r="10" spans="1:52" x14ac:dyDescent="0.3">
      <c r="A10" s="159"/>
      <c r="B10" s="734"/>
      <c r="C10" s="718" t="s">
        <v>532</v>
      </c>
      <c r="D10" s="780">
        <v>0</v>
      </c>
      <c r="E10" s="783">
        <v>0</v>
      </c>
      <c r="F10" s="783">
        <v>0</v>
      </c>
      <c r="G10" s="783">
        <v>1</v>
      </c>
      <c r="H10" s="783"/>
      <c r="I10" s="783"/>
      <c r="J10" s="783"/>
      <c r="K10" s="783"/>
      <c r="L10" s="783"/>
      <c r="M10" s="783"/>
      <c r="N10" s="783">
        <v>0</v>
      </c>
      <c r="O10" s="783"/>
      <c r="P10" s="783">
        <v>1</v>
      </c>
      <c r="Q10" s="783">
        <v>0</v>
      </c>
      <c r="R10" s="783">
        <f>AH11/AG11</f>
        <v>0.36486486486486486</v>
      </c>
      <c r="S10" s="783">
        <f>1-R10</f>
        <v>0.63513513513513509</v>
      </c>
      <c r="T10" s="783">
        <f>$R10</f>
        <v>0.36486486486486486</v>
      </c>
      <c r="U10" s="783">
        <f>$S10</f>
        <v>0.63513513513513509</v>
      </c>
      <c r="V10" s="783">
        <v>1</v>
      </c>
      <c r="W10" s="783">
        <f>AI11/AG11</f>
        <v>0.25675675675675674</v>
      </c>
      <c r="X10" s="783">
        <v>0</v>
      </c>
      <c r="Y10" s="783">
        <f>W10</f>
        <v>0.25675675675675674</v>
      </c>
      <c r="Z10" s="783">
        <f>AJ11/AG11</f>
        <v>4.72972972972973E-2</v>
      </c>
      <c r="AA10" s="783">
        <f>$Z10</f>
        <v>4.72972972972973E-2</v>
      </c>
      <c r="AB10" s="783">
        <f>$AA10</f>
        <v>4.72972972972973E-2</v>
      </c>
      <c r="AC10" s="783">
        <f>$AA10</f>
        <v>4.72972972972973E-2</v>
      </c>
      <c r="AD10" s="828"/>
      <c r="AE10" s="992"/>
      <c r="AF10" s="993"/>
      <c r="AG10" s="913"/>
      <c r="AH10" s="906"/>
      <c r="AI10" s="781"/>
      <c r="AJ10" s="782"/>
      <c r="AL10" s="232"/>
      <c r="AM10" s="233"/>
      <c r="AZ10" s="227"/>
    </row>
    <row r="11" spans="1:52" x14ac:dyDescent="0.3">
      <c r="A11" s="159"/>
      <c r="B11" s="231"/>
      <c r="C11" s="718" t="s">
        <v>600</v>
      </c>
      <c r="D11" s="784">
        <f>D9*D10</f>
        <v>0</v>
      </c>
      <c r="E11" s="785">
        <f t="shared" ref="E11:G11" si="6">E9*E10</f>
        <v>0</v>
      </c>
      <c r="F11" s="785">
        <f t="shared" si="6"/>
        <v>0</v>
      </c>
      <c r="G11" s="785">
        <f t="shared" si="6"/>
        <v>12</v>
      </c>
      <c r="H11" s="785"/>
      <c r="I11" s="785"/>
      <c r="J11" s="785"/>
      <c r="K11" s="785"/>
      <c r="L11" s="785"/>
      <c r="M11" s="785"/>
      <c r="N11" s="785">
        <f t="shared" ref="N11" si="7">N9*N10</f>
        <v>0</v>
      </c>
      <c r="O11" s="785"/>
      <c r="P11" s="785">
        <f t="shared" ref="P11:AC11" si="8">P9*P10</f>
        <v>16</v>
      </c>
      <c r="Q11" s="785">
        <f t="shared" si="8"/>
        <v>0</v>
      </c>
      <c r="R11" s="785">
        <f t="shared" si="8"/>
        <v>8.7567567567567561</v>
      </c>
      <c r="S11" s="785">
        <f t="shared" si="8"/>
        <v>15.243243243243242</v>
      </c>
      <c r="T11" s="785">
        <f t="shared" si="8"/>
        <v>5.8378378378378377</v>
      </c>
      <c r="U11" s="785">
        <f t="shared" si="8"/>
        <v>5.0810810810810807</v>
      </c>
      <c r="V11" s="785">
        <f t="shared" si="8"/>
        <v>8</v>
      </c>
      <c r="W11" s="785">
        <f t="shared" si="8"/>
        <v>1.027027027027027</v>
      </c>
      <c r="X11" s="785">
        <f t="shared" si="8"/>
        <v>0</v>
      </c>
      <c r="Y11" s="785">
        <f t="shared" si="8"/>
        <v>6.1621621621621614</v>
      </c>
      <c r="Z11" s="785">
        <f t="shared" si="8"/>
        <v>0.1891891891891892</v>
      </c>
      <c r="AA11" s="785">
        <f t="shared" si="8"/>
        <v>9.45945945945946E-2</v>
      </c>
      <c r="AB11" s="785">
        <f t="shared" si="8"/>
        <v>0.94594594594594605</v>
      </c>
      <c r="AC11" s="785">
        <f t="shared" si="8"/>
        <v>2.6486486486486487</v>
      </c>
      <c r="AD11" s="829">
        <f>SUM(D11:AC11)</f>
        <v>81.986486486486498</v>
      </c>
      <c r="AE11" s="994">
        <v>90</v>
      </c>
      <c r="AF11" s="995">
        <f>ROUND(AE11/SUM(AE$6:AE$11)*135,0)</f>
        <v>58</v>
      </c>
      <c r="AG11" s="914">
        <f>SUM(AE11:AF11)</f>
        <v>148</v>
      </c>
      <c r="AH11" s="907">
        <f>-ROUND(AG11/SUM(AG$6:AG$11)*SUM(-248,AH$12:AH$20),0)</f>
        <v>54</v>
      </c>
      <c r="AI11" s="786">
        <f>-ROUND(AH11/SUM(AH$6:AH$14)*SUM(-177,AI$18:AI$24),0)</f>
        <v>38</v>
      </c>
      <c r="AJ11" s="787">
        <f>ROUND(AI11/SUM(AI$6:AI$11,AI$20)*19,0)</f>
        <v>7</v>
      </c>
      <c r="AL11" s="232"/>
      <c r="AM11" s="233"/>
      <c r="AZ11" s="227"/>
    </row>
    <row r="12" spans="1:52" ht="30.6" customHeight="1" x14ac:dyDescent="0.3">
      <c r="A12" s="159">
        <f ca="1">OFFSET(A12,-3,0)+1</f>
        <v>3</v>
      </c>
      <c r="B12" s="736" t="str">
        <f ca="1">"Meranie č. "&amp;A12</f>
        <v>Meranie č. 3</v>
      </c>
      <c r="C12" s="1014" t="s">
        <v>604</v>
      </c>
      <c r="D12" s="779">
        <v>0.5</v>
      </c>
      <c r="E12" s="737">
        <v>0</v>
      </c>
      <c r="F12" s="737">
        <v>2</v>
      </c>
      <c r="G12" s="737">
        <v>11.528428093645484</v>
      </c>
      <c r="H12" s="737" t="s">
        <v>568</v>
      </c>
      <c r="I12" s="737" t="s">
        <v>568</v>
      </c>
      <c r="J12" s="737" t="s">
        <v>568</v>
      </c>
      <c r="K12" s="737" t="s">
        <v>568</v>
      </c>
      <c r="L12" s="737" t="s">
        <v>568</v>
      </c>
      <c r="M12" s="737" t="s">
        <v>568</v>
      </c>
      <c r="N12" s="737">
        <v>0</v>
      </c>
      <c r="O12" s="737" t="s">
        <v>572</v>
      </c>
      <c r="P12" s="737">
        <v>4</v>
      </c>
      <c r="Q12" s="737">
        <v>4</v>
      </c>
      <c r="R12" s="737">
        <v>56</v>
      </c>
      <c r="S12" s="737">
        <v>40</v>
      </c>
      <c r="T12" s="737">
        <v>6</v>
      </c>
      <c r="U12" s="737">
        <v>8</v>
      </c>
      <c r="V12" s="737">
        <v>0.5</v>
      </c>
      <c r="W12" s="737">
        <v>4</v>
      </c>
      <c r="X12" s="737">
        <v>0</v>
      </c>
      <c r="Y12" s="737">
        <v>24</v>
      </c>
      <c r="Z12" s="737">
        <v>3</v>
      </c>
      <c r="AA12" s="737">
        <v>2</v>
      </c>
      <c r="AB12" s="737">
        <v>20</v>
      </c>
      <c r="AC12" s="737">
        <v>56</v>
      </c>
      <c r="AD12" s="827">
        <f>SUM(D12:AC12)</f>
        <v>241.52842809364549</v>
      </c>
      <c r="AE12" s="990"/>
      <c r="AF12" s="991"/>
      <c r="AG12" s="912"/>
      <c r="AH12" s="904"/>
      <c r="AI12" s="738"/>
      <c r="AJ12" s="759"/>
      <c r="AL12" s="232"/>
      <c r="AZ12" s="227"/>
    </row>
    <row r="13" spans="1:52" x14ac:dyDescent="0.3">
      <c r="A13" s="159"/>
      <c r="B13" s="734"/>
      <c r="C13" s="718" t="s">
        <v>532</v>
      </c>
      <c r="D13" s="780">
        <v>0</v>
      </c>
      <c r="E13" s="783">
        <v>0</v>
      </c>
      <c r="F13" s="783">
        <v>0</v>
      </c>
      <c r="G13" s="783">
        <v>1</v>
      </c>
      <c r="H13" s="783"/>
      <c r="I13" s="783"/>
      <c r="J13" s="783"/>
      <c r="K13" s="783"/>
      <c r="L13" s="783"/>
      <c r="M13" s="783"/>
      <c r="N13" s="783">
        <v>0</v>
      </c>
      <c r="O13" s="783"/>
      <c r="P13" s="783">
        <v>1</v>
      </c>
      <c r="Q13" s="783">
        <v>0</v>
      </c>
      <c r="R13" s="783">
        <f>AH14/AG14</f>
        <v>0.58115183246073299</v>
      </c>
      <c r="S13" s="783">
        <f>1-R13</f>
        <v>0.41884816753926701</v>
      </c>
      <c r="T13" s="783">
        <f>$R13</f>
        <v>0.58115183246073299</v>
      </c>
      <c r="U13" s="783">
        <f>$S13</f>
        <v>0.41884816753926701</v>
      </c>
      <c r="V13" s="783">
        <v>1</v>
      </c>
      <c r="W13" s="783">
        <f>AI14/AG14</f>
        <v>0.40837696335078533</v>
      </c>
      <c r="X13" s="783">
        <v>0</v>
      </c>
      <c r="Y13" s="783">
        <f>W13</f>
        <v>0.40837696335078533</v>
      </c>
      <c r="Z13" s="783">
        <f>AJ14/AG14</f>
        <v>0</v>
      </c>
      <c r="AA13" s="783">
        <f>$Z13</f>
        <v>0</v>
      </c>
      <c r="AB13" s="783">
        <f>$AA13</f>
        <v>0</v>
      </c>
      <c r="AC13" s="783">
        <f>$AA13</f>
        <v>0</v>
      </c>
      <c r="AD13" s="828"/>
      <c r="AE13" s="992"/>
      <c r="AF13" s="993"/>
      <c r="AG13" s="913"/>
      <c r="AH13" s="906"/>
      <c r="AI13" s="781"/>
      <c r="AJ13" s="782"/>
      <c r="AL13" s="232"/>
      <c r="AM13" s="233"/>
      <c r="AZ13" s="227"/>
    </row>
    <row r="14" spans="1:52" x14ac:dyDescent="0.3">
      <c r="A14" s="159"/>
      <c r="B14" s="231"/>
      <c r="C14" s="718" t="s">
        <v>600</v>
      </c>
      <c r="D14" s="784">
        <f>D12*D13</f>
        <v>0</v>
      </c>
      <c r="E14" s="785">
        <f t="shared" ref="E14:G14" si="9">E12*E13</f>
        <v>0</v>
      </c>
      <c r="F14" s="785">
        <f t="shared" si="9"/>
        <v>0</v>
      </c>
      <c r="G14" s="785">
        <f t="shared" si="9"/>
        <v>11.528428093645484</v>
      </c>
      <c r="H14" s="785"/>
      <c r="I14" s="785"/>
      <c r="J14" s="785"/>
      <c r="K14" s="785"/>
      <c r="L14" s="785"/>
      <c r="M14" s="785"/>
      <c r="N14" s="785">
        <f t="shared" ref="N14" si="10">N12*N13</f>
        <v>0</v>
      </c>
      <c r="O14" s="785"/>
      <c r="P14" s="785">
        <f t="shared" ref="P14:AC14" si="11">P12*P13</f>
        <v>4</v>
      </c>
      <c r="Q14" s="785">
        <f t="shared" si="11"/>
        <v>0</v>
      </c>
      <c r="R14" s="785">
        <f t="shared" si="11"/>
        <v>32.544502617801044</v>
      </c>
      <c r="S14" s="785">
        <f t="shared" si="11"/>
        <v>16.753926701570681</v>
      </c>
      <c r="T14" s="785">
        <f t="shared" si="11"/>
        <v>3.4869109947643979</v>
      </c>
      <c r="U14" s="785">
        <f t="shared" si="11"/>
        <v>3.3507853403141361</v>
      </c>
      <c r="V14" s="785">
        <f t="shared" si="11"/>
        <v>0.5</v>
      </c>
      <c r="W14" s="785">
        <f t="shared" si="11"/>
        <v>1.6335078534031413</v>
      </c>
      <c r="X14" s="785">
        <f t="shared" si="11"/>
        <v>0</v>
      </c>
      <c r="Y14" s="785">
        <f t="shared" si="11"/>
        <v>9.801047120418847</v>
      </c>
      <c r="Z14" s="785">
        <f t="shared" si="11"/>
        <v>0</v>
      </c>
      <c r="AA14" s="785">
        <f t="shared" si="11"/>
        <v>0</v>
      </c>
      <c r="AB14" s="785">
        <f t="shared" si="11"/>
        <v>0</v>
      </c>
      <c r="AC14" s="785">
        <f t="shared" si="11"/>
        <v>0</v>
      </c>
      <c r="AD14" s="829">
        <f>SUM(D14:AC14)</f>
        <v>83.59910872191773</v>
      </c>
      <c r="AE14" s="992">
        <v>191</v>
      </c>
      <c r="AF14" s="993">
        <v>0</v>
      </c>
      <c r="AG14" s="913">
        <f>SUM(AE14:AF14)</f>
        <v>191</v>
      </c>
      <c r="AH14" s="906">
        <v>111</v>
      </c>
      <c r="AI14" s="781">
        <f>-ROUND(AH14/SUM(AH$6:AH$14)*SUM(-177,AI$18:AI$24),0)</f>
        <v>78</v>
      </c>
      <c r="AJ14" s="782">
        <v>0</v>
      </c>
      <c r="AL14" s="232"/>
      <c r="AM14" s="233"/>
      <c r="AZ14" s="227"/>
    </row>
    <row r="15" spans="1:52" ht="42.6" customHeight="1" x14ac:dyDescent="0.3">
      <c r="A15" s="159">
        <f ca="1">OFFSET(A15,-3,0)+1</f>
        <v>4</v>
      </c>
      <c r="B15" s="981" t="str">
        <f ca="1">"Meranie č. "&amp;A15</f>
        <v>Meranie č. 4</v>
      </c>
      <c r="C15" s="1014" t="s">
        <v>765</v>
      </c>
      <c r="D15" s="779">
        <v>50</v>
      </c>
      <c r="E15" s="737">
        <v>1</v>
      </c>
      <c r="F15" s="737">
        <v>1</v>
      </c>
      <c r="G15" s="737">
        <v>10</v>
      </c>
      <c r="H15" s="737" t="s">
        <v>568</v>
      </c>
      <c r="I15" s="737" t="s">
        <v>568</v>
      </c>
      <c r="J15" s="737" t="s">
        <v>568</v>
      </c>
      <c r="K15" s="737" t="s">
        <v>568</v>
      </c>
      <c r="L15" s="737" t="s">
        <v>568</v>
      </c>
      <c r="M15" s="737" t="s">
        <v>568</v>
      </c>
      <c r="N15" s="737">
        <v>0</v>
      </c>
      <c r="O15" s="737" t="s">
        <v>572</v>
      </c>
      <c r="P15" s="737">
        <v>4</v>
      </c>
      <c r="Q15" s="737">
        <v>5</v>
      </c>
      <c r="R15" s="737">
        <v>56</v>
      </c>
      <c r="S15" s="737">
        <v>56</v>
      </c>
      <c r="T15" s="737">
        <v>8</v>
      </c>
      <c r="U15" s="737">
        <v>8</v>
      </c>
      <c r="V15" s="737">
        <v>8</v>
      </c>
      <c r="W15" s="737">
        <v>4</v>
      </c>
      <c r="X15" s="737">
        <v>6</v>
      </c>
      <c r="Y15" s="737">
        <v>24</v>
      </c>
      <c r="Z15" s="737">
        <v>6</v>
      </c>
      <c r="AA15" s="737">
        <v>3</v>
      </c>
      <c r="AB15" s="737">
        <v>16</v>
      </c>
      <c r="AC15" s="737">
        <v>56</v>
      </c>
      <c r="AD15" s="827">
        <f>SUM(D15:AC15)</f>
        <v>322</v>
      </c>
      <c r="AE15" s="996"/>
      <c r="AF15" s="997"/>
      <c r="AG15" s="998"/>
      <c r="AH15" s="999"/>
      <c r="AI15" s="1000"/>
      <c r="AJ15" s="769"/>
      <c r="AL15" s="232"/>
      <c r="AZ15" s="227"/>
    </row>
    <row r="16" spans="1:52" x14ac:dyDescent="0.3">
      <c r="A16" s="159"/>
      <c r="B16" s="734"/>
      <c r="C16" s="718" t="s">
        <v>532</v>
      </c>
      <c r="D16" s="780">
        <v>0</v>
      </c>
      <c r="E16" s="783">
        <v>0</v>
      </c>
      <c r="F16" s="783">
        <v>0</v>
      </c>
      <c r="G16" s="783">
        <v>1</v>
      </c>
      <c r="H16" s="783"/>
      <c r="I16" s="783"/>
      <c r="J16" s="783"/>
      <c r="K16" s="783"/>
      <c r="L16" s="783"/>
      <c r="M16" s="783"/>
      <c r="N16" s="783">
        <v>0</v>
      </c>
      <c r="O16" s="783"/>
      <c r="P16" s="783">
        <v>1</v>
      </c>
      <c r="Q16" s="783">
        <v>0</v>
      </c>
      <c r="R16" s="783">
        <f>AH14/AG14</f>
        <v>0.58115183246073299</v>
      </c>
      <c r="S16" s="783">
        <f>1-R16</f>
        <v>0.41884816753926701</v>
      </c>
      <c r="T16" s="783">
        <f>$R16</f>
        <v>0.58115183246073299</v>
      </c>
      <c r="U16" s="783">
        <f>$S16</f>
        <v>0.41884816753926701</v>
      </c>
      <c r="V16" s="783">
        <v>1</v>
      </c>
      <c r="W16" s="783">
        <f>AI14/AG14</f>
        <v>0.40837696335078533</v>
      </c>
      <c r="X16" s="783">
        <v>0</v>
      </c>
      <c r="Y16" s="783">
        <f>W16</f>
        <v>0.40837696335078533</v>
      </c>
      <c r="Z16" s="783">
        <f>AJ14/AG14</f>
        <v>0</v>
      </c>
      <c r="AA16" s="783">
        <f>$Z16</f>
        <v>0</v>
      </c>
      <c r="AB16" s="783">
        <f>$AA16</f>
        <v>0</v>
      </c>
      <c r="AC16" s="783">
        <f>$AA16</f>
        <v>0</v>
      </c>
      <c r="AD16" s="828"/>
      <c r="AE16" s="992"/>
      <c r="AF16" s="993"/>
      <c r="AG16" s="913"/>
      <c r="AH16" s="906"/>
      <c r="AI16" s="781"/>
      <c r="AJ16" s="782"/>
      <c r="AL16" s="232"/>
      <c r="AM16" s="233"/>
      <c r="AZ16" s="227"/>
    </row>
    <row r="17" spans="1:52" x14ac:dyDescent="0.3">
      <c r="A17" s="159"/>
      <c r="B17" s="734"/>
      <c r="C17" s="718" t="s">
        <v>600</v>
      </c>
      <c r="D17" s="784">
        <f>D15*D16</f>
        <v>0</v>
      </c>
      <c r="E17" s="785">
        <f t="shared" ref="E17:G17" si="12">E15*E16</f>
        <v>0</v>
      </c>
      <c r="F17" s="785">
        <f t="shared" si="12"/>
        <v>0</v>
      </c>
      <c r="G17" s="785">
        <f t="shared" si="12"/>
        <v>10</v>
      </c>
      <c r="H17" s="785"/>
      <c r="I17" s="785"/>
      <c r="J17" s="785"/>
      <c r="K17" s="785"/>
      <c r="L17" s="785"/>
      <c r="M17" s="785"/>
      <c r="N17" s="785">
        <f t="shared" ref="N17" si="13">N15*N16</f>
        <v>0</v>
      </c>
      <c r="O17" s="785"/>
      <c r="P17" s="785">
        <f t="shared" ref="P17:AC17" si="14">P15*P16</f>
        <v>4</v>
      </c>
      <c r="Q17" s="785">
        <f t="shared" si="14"/>
        <v>0</v>
      </c>
      <c r="R17" s="785">
        <f t="shared" si="14"/>
        <v>32.544502617801044</v>
      </c>
      <c r="S17" s="785">
        <f t="shared" si="14"/>
        <v>23.455497382198953</v>
      </c>
      <c r="T17" s="785">
        <f t="shared" si="14"/>
        <v>4.6492146596858639</v>
      </c>
      <c r="U17" s="785">
        <f t="shared" si="14"/>
        <v>3.3507853403141361</v>
      </c>
      <c r="V17" s="785">
        <f t="shared" si="14"/>
        <v>8</v>
      </c>
      <c r="W17" s="785">
        <f t="shared" si="14"/>
        <v>1.6335078534031413</v>
      </c>
      <c r="X17" s="785">
        <f t="shared" si="14"/>
        <v>0</v>
      </c>
      <c r="Y17" s="785">
        <f t="shared" si="14"/>
        <v>9.801047120418847</v>
      </c>
      <c r="Z17" s="785">
        <f t="shared" si="14"/>
        <v>0</v>
      </c>
      <c r="AA17" s="785">
        <f t="shared" si="14"/>
        <v>0</v>
      </c>
      <c r="AB17" s="785">
        <f t="shared" si="14"/>
        <v>0</v>
      </c>
      <c r="AC17" s="785">
        <f t="shared" si="14"/>
        <v>0</v>
      </c>
      <c r="AD17" s="829">
        <f>SUM(D17:AC17)</f>
        <v>97.434554973821989</v>
      </c>
      <c r="AE17" s="994"/>
      <c r="AF17" s="995"/>
      <c r="AG17" s="914"/>
      <c r="AH17" s="907"/>
      <c r="AI17" s="786"/>
      <c r="AJ17" s="787"/>
      <c r="AL17" s="232"/>
      <c r="AM17" s="233"/>
      <c r="AZ17" s="227"/>
    </row>
    <row r="18" spans="1:52" ht="29.4" customHeight="1" x14ac:dyDescent="0.3">
      <c r="A18" s="159">
        <f ca="1">OFFSET(A18,-3,0)+1</f>
        <v>5</v>
      </c>
      <c r="B18" s="981" t="str">
        <f ca="1">"Meranie č. "&amp;A18</f>
        <v>Meranie č. 5</v>
      </c>
      <c r="C18" s="1014" t="s">
        <v>611</v>
      </c>
      <c r="D18" s="779">
        <v>0</v>
      </c>
      <c r="E18" s="737">
        <v>16</v>
      </c>
      <c r="F18" s="737">
        <v>4</v>
      </c>
      <c r="G18" s="737">
        <v>14</v>
      </c>
      <c r="H18" s="737" t="s">
        <v>568</v>
      </c>
      <c r="I18" s="737" t="s">
        <v>568</v>
      </c>
      <c r="J18" s="737" t="s">
        <v>568</v>
      </c>
      <c r="K18" s="737" t="s">
        <v>568</v>
      </c>
      <c r="L18" s="737">
        <v>4</v>
      </c>
      <c r="M18" s="737" t="s">
        <v>570</v>
      </c>
      <c r="N18" s="737">
        <v>0</v>
      </c>
      <c r="O18" s="737" t="s">
        <v>572</v>
      </c>
      <c r="P18" s="737">
        <v>4</v>
      </c>
      <c r="Q18" s="737">
        <v>0</v>
      </c>
      <c r="R18" s="737">
        <v>40</v>
      </c>
      <c r="S18" s="737">
        <v>40</v>
      </c>
      <c r="T18" s="737">
        <v>16</v>
      </c>
      <c r="U18" s="737">
        <v>8</v>
      </c>
      <c r="V18" s="737">
        <v>8</v>
      </c>
      <c r="W18" s="737">
        <v>4</v>
      </c>
      <c r="X18" s="737">
        <v>4</v>
      </c>
      <c r="Y18" s="737">
        <v>24</v>
      </c>
      <c r="Z18" s="737">
        <v>4</v>
      </c>
      <c r="AA18" s="737">
        <v>2</v>
      </c>
      <c r="AB18" s="737">
        <v>20</v>
      </c>
      <c r="AC18" s="737">
        <v>56</v>
      </c>
      <c r="AD18" s="827">
        <f>SUM(D18:AC18)</f>
        <v>268</v>
      </c>
      <c r="AE18" s="990"/>
      <c r="AF18" s="991"/>
      <c r="AG18" s="912"/>
      <c r="AH18" s="904"/>
      <c r="AI18" s="738"/>
      <c r="AJ18" s="759"/>
      <c r="AL18" s="232"/>
      <c r="AZ18" s="227"/>
    </row>
    <row r="19" spans="1:52" x14ac:dyDescent="0.3">
      <c r="A19" s="159"/>
      <c r="B19" s="734"/>
      <c r="C19" s="718" t="s">
        <v>532</v>
      </c>
      <c r="D19" s="780">
        <v>0</v>
      </c>
      <c r="E19" s="783">
        <v>0</v>
      </c>
      <c r="F19" s="783">
        <v>1</v>
      </c>
      <c r="G19" s="783">
        <v>1</v>
      </c>
      <c r="H19" s="783"/>
      <c r="I19" s="783"/>
      <c r="J19" s="783"/>
      <c r="K19" s="783"/>
      <c r="L19" s="783"/>
      <c r="M19" s="783"/>
      <c r="N19" s="783">
        <v>0</v>
      </c>
      <c r="O19" s="783"/>
      <c r="P19" s="783">
        <v>1</v>
      </c>
      <c r="Q19" s="783">
        <v>0</v>
      </c>
      <c r="R19" s="783">
        <f>AH20/AG20</f>
        <v>0.1864406779661017</v>
      </c>
      <c r="S19" s="783">
        <f>1-R19</f>
        <v>0.81355932203389836</v>
      </c>
      <c r="T19" s="783">
        <f>$R19</f>
        <v>0.1864406779661017</v>
      </c>
      <c r="U19" s="783">
        <f>$S19</f>
        <v>0.81355932203389836</v>
      </c>
      <c r="V19" s="783">
        <v>1</v>
      </c>
      <c r="W19" s="783">
        <f>AI20/AG20</f>
        <v>0.1864406779661017</v>
      </c>
      <c r="X19" s="783">
        <v>0</v>
      </c>
      <c r="Y19" s="783">
        <f>W19</f>
        <v>0.1864406779661017</v>
      </c>
      <c r="Z19" s="783">
        <f>AJ20/AG20</f>
        <v>3.3898305084745763E-2</v>
      </c>
      <c r="AA19" s="783">
        <f>$Z19</f>
        <v>3.3898305084745763E-2</v>
      </c>
      <c r="AB19" s="783">
        <f>$AA19</f>
        <v>3.3898305084745763E-2</v>
      </c>
      <c r="AC19" s="783">
        <f>$AA19</f>
        <v>3.3898305084745763E-2</v>
      </c>
      <c r="AD19" s="828"/>
      <c r="AE19" s="992"/>
      <c r="AF19" s="993"/>
      <c r="AG19" s="913"/>
      <c r="AH19" s="906"/>
      <c r="AI19" s="781"/>
      <c r="AJ19" s="782"/>
      <c r="AL19" s="232"/>
      <c r="AM19" s="233"/>
      <c r="AZ19" s="227"/>
    </row>
    <row r="20" spans="1:52" x14ac:dyDescent="0.3">
      <c r="A20" s="159"/>
      <c r="B20" s="734"/>
      <c r="C20" s="739" t="s">
        <v>600</v>
      </c>
      <c r="D20" s="809">
        <f>D18*D19</f>
        <v>0</v>
      </c>
      <c r="E20" s="810">
        <f t="shared" ref="E20:G20" si="15">E18*E19</f>
        <v>0</v>
      </c>
      <c r="F20" s="810">
        <f t="shared" si="15"/>
        <v>4</v>
      </c>
      <c r="G20" s="810">
        <f t="shared" si="15"/>
        <v>14</v>
      </c>
      <c r="H20" s="810"/>
      <c r="I20" s="810"/>
      <c r="J20" s="810"/>
      <c r="K20" s="810"/>
      <c r="L20" s="810"/>
      <c r="M20" s="810"/>
      <c r="N20" s="810">
        <f t="shared" ref="N20" si="16">N18*N19</f>
        <v>0</v>
      </c>
      <c r="O20" s="810"/>
      <c r="P20" s="810">
        <f t="shared" ref="P20:AC20" si="17">P18*P19</f>
        <v>4</v>
      </c>
      <c r="Q20" s="810">
        <f t="shared" si="17"/>
        <v>0</v>
      </c>
      <c r="R20" s="810">
        <f t="shared" si="17"/>
        <v>7.4576271186440675</v>
      </c>
      <c r="S20" s="810">
        <f t="shared" si="17"/>
        <v>32.542372881355931</v>
      </c>
      <c r="T20" s="810">
        <f t="shared" si="17"/>
        <v>2.9830508474576272</v>
      </c>
      <c r="U20" s="810">
        <f t="shared" si="17"/>
        <v>6.5084745762711869</v>
      </c>
      <c r="V20" s="810">
        <f t="shared" si="17"/>
        <v>8</v>
      </c>
      <c r="W20" s="810">
        <f t="shared" si="17"/>
        <v>0.74576271186440679</v>
      </c>
      <c r="X20" s="810">
        <f t="shared" si="17"/>
        <v>0</v>
      </c>
      <c r="Y20" s="810">
        <f t="shared" si="17"/>
        <v>4.4745762711864412</v>
      </c>
      <c r="Z20" s="810">
        <f t="shared" si="17"/>
        <v>0.13559322033898305</v>
      </c>
      <c r="AA20" s="810">
        <f t="shared" si="17"/>
        <v>6.7796610169491525E-2</v>
      </c>
      <c r="AB20" s="810">
        <f t="shared" si="17"/>
        <v>0.67796610169491522</v>
      </c>
      <c r="AC20" s="810">
        <f t="shared" si="17"/>
        <v>1.8983050847457628</v>
      </c>
      <c r="AD20" s="830">
        <f>SUM(D20:AC20)</f>
        <v>87.491525423728817</v>
      </c>
      <c r="AE20" s="992">
        <v>58</v>
      </c>
      <c r="AF20" s="993">
        <v>1</v>
      </c>
      <c r="AG20" s="913">
        <f>SUM(AE20:AF20)</f>
        <v>59</v>
      </c>
      <c r="AH20" s="906">
        <v>11</v>
      </c>
      <c r="AI20" s="781">
        <v>11</v>
      </c>
      <c r="AJ20" s="782">
        <f>ROUND(AI20/SUM(AI$6:AI$11,AI$20)*19,0)</f>
        <v>2</v>
      </c>
      <c r="AL20" s="232"/>
      <c r="AM20" s="233"/>
      <c r="AZ20" s="227"/>
    </row>
    <row r="21" spans="1:52" ht="29.4" customHeight="1" x14ac:dyDescent="0.3">
      <c r="A21" s="159">
        <f ca="1">OFFSET(A21,-3,0)+1</f>
        <v>6</v>
      </c>
      <c r="B21" s="736" t="str">
        <f ca="1">"Meranie č. "&amp;A21</f>
        <v>Meranie č. 6</v>
      </c>
      <c r="C21" s="1014" t="s">
        <v>766</v>
      </c>
      <c r="D21" s="779">
        <v>0</v>
      </c>
      <c r="E21" s="737">
        <v>8</v>
      </c>
      <c r="F21" s="737">
        <v>2</v>
      </c>
      <c r="G21" s="737">
        <v>16</v>
      </c>
      <c r="H21" s="737" t="s">
        <v>568</v>
      </c>
      <c r="I21" s="737" t="s">
        <v>568</v>
      </c>
      <c r="J21" s="737" t="s">
        <v>568</v>
      </c>
      <c r="K21" s="737" t="s">
        <v>568</v>
      </c>
      <c r="L21" s="737" t="s">
        <v>568</v>
      </c>
      <c r="M21" s="737" t="s">
        <v>568</v>
      </c>
      <c r="N21" s="737">
        <v>0</v>
      </c>
      <c r="O21" s="737" t="s">
        <v>572</v>
      </c>
      <c r="P21" s="737">
        <v>4</v>
      </c>
      <c r="Q21" s="737">
        <v>0</v>
      </c>
      <c r="R21" s="737">
        <v>40</v>
      </c>
      <c r="S21" s="737">
        <v>40</v>
      </c>
      <c r="T21" s="737">
        <v>0</v>
      </c>
      <c r="U21" s="737">
        <v>0</v>
      </c>
      <c r="V21" s="737">
        <v>4</v>
      </c>
      <c r="W21" s="737">
        <v>4</v>
      </c>
      <c r="X21" s="737">
        <v>6</v>
      </c>
      <c r="Y21" s="737">
        <v>24</v>
      </c>
      <c r="Z21" s="737">
        <v>0</v>
      </c>
      <c r="AA21" s="737">
        <v>2</v>
      </c>
      <c r="AB21" s="737">
        <v>0</v>
      </c>
      <c r="AC21" s="737">
        <v>0</v>
      </c>
      <c r="AD21" s="827">
        <f>SUM(D21:AC21)</f>
        <v>150</v>
      </c>
      <c r="AE21" s="990"/>
      <c r="AF21" s="991"/>
      <c r="AG21" s="912"/>
      <c r="AH21" s="904"/>
      <c r="AI21" s="738"/>
      <c r="AJ21" s="759"/>
      <c r="AL21" s="232"/>
      <c r="AZ21" s="227"/>
    </row>
    <row r="22" spans="1:52" x14ac:dyDescent="0.3">
      <c r="A22" s="159"/>
      <c r="B22" s="734"/>
      <c r="C22" s="718" t="s">
        <v>532</v>
      </c>
      <c r="D22" s="780">
        <v>0</v>
      </c>
      <c r="E22" s="783">
        <v>0</v>
      </c>
      <c r="F22" s="783">
        <v>1</v>
      </c>
      <c r="G22" s="783">
        <v>1</v>
      </c>
      <c r="H22" s="783"/>
      <c r="I22" s="783"/>
      <c r="J22" s="783"/>
      <c r="K22" s="783"/>
      <c r="L22" s="783"/>
      <c r="M22" s="783"/>
      <c r="N22" s="783">
        <v>0</v>
      </c>
      <c r="O22" s="783"/>
      <c r="P22" s="783">
        <v>1</v>
      </c>
      <c r="Q22" s="783">
        <v>0</v>
      </c>
      <c r="R22" s="783">
        <f>AH23/AG23</f>
        <v>0</v>
      </c>
      <c r="S22" s="783">
        <f>1-R22</f>
        <v>1</v>
      </c>
      <c r="T22" s="783">
        <f>$R22</f>
        <v>0</v>
      </c>
      <c r="U22" s="783">
        <f>$S22</f>
        <v>1</v>
      </c>
      <c r="V22" s="783">
        <v>1</v>
      </c>
      <c r="W22" s="783">
        <f>AI23/AG23</f>
        <v>0</v>
      </c>
      <c r="X22" s="783">
        <v>0</v>
      </c>
      <c r="Y22" s="783">
        <f>W22</f>
        <v>0</v>
      </c>
      <c r="Z22" s="783">
        <f>AJ23/AG23</f>
        <v>0</v>
      </c>
      <c r="AA22" s="783">
        <f>$Z22</f>
        <v>0</v>
      </c>
      <c r="AB22" s="783">
        <f>$AA22</f>
        <v>0</v>
      </c>
      <c r="AC22" s="783">
        <f>$AA22</f>
        <v>0</v>
      </c>
      <c r="AD22" s="828"/>
      <c r="AE22" s="992"/>
      <c r="AF22" s="993"/>
      <c r="AG22" s="913"/>
      <c r="AH22" s="906"/>
      <c r="AI22" s="781"/>
      <c r="AJ22" s="782"/>
      <c r="AL22" s="232"/>
      <c r="AM22" s="233"/>
      <c r="AZ22" s="227"/>
    </row>
    <row r="23" spans="1:52" x14ac:dyDescent="0.3">
      <c r="A23" s="159"/>
      <c r="B23" s="734"/>
      <c r="C23" s="739" t="s">
        <v>600</v>
      </c>
      <c r="D23" s="809">
        <f>D21*D22</f>
        <v>0</v>
      </c>
      <c r="E23" s="810">
        <f t="shared" ref="E23:G23" si="18">E21*E22</f>
        <v>0</v>
      </c>
      <c r="F23" s="810">
        <f t="shared" si="18"/>
        <v>2</v>
      </c>
      <c r="G23" s="810">
        <f t="shared" si="18"/>
        <v>16</v>
      </c>
      <c r="H23" s="810"/>
      <c r="I23" s="810"/>
      <c r="J23" s="810"/>
      <c r="K23" s="810"/>
      <c r="L23" s="810"/>
      <c r="M23" s="810"/>
      <c r="N23" s="810">
        <f t="shared" ref="N23" si="19">N21*N22</f>
        <v>0</v>
      </c>
      <c r="O23" s="810"/>
      <c r="P23" s="810">
        <f t="shared" ref="P23:AC23" si="20">P21*P22</f>
        <v>4</v>
      </c>
      <c r="Q23" s="810">
        <f t="shared" si="20"/>
        <v>0</v>
      </c>
      <c r="R23" s="810">
        <f t="shared" si="20"/>
        <v>0</v>
      </c>
      <c r="S23" s="810">
        <f t="shared" si="20"/>
        <v>40</v>
      </c>
      <c r="T23" s="810">
        <f t="shared" si="20"/>
        <v>0</v>
      </c>
      <c r="U23" s="810">
        <f t="shared" si="20"/>
        <v>0</v>
      </c>
      <c r="V23" s="810">
        <f t="shared" si="20"/>
        <v>4</v>
      </c>
      <c r="W23" s="810">
        <f t="shared" si="20"/>
        <v>0</v>
      </c>
      <c r="X23" s="810">
        <f t="shared" si="20"/>
        <v>0</v>
      </c>
      <c r="Y23" s="810">
        <f t="shared" si="20"/>
        <v>0</v>
      </c>
      <c r="Z23" s="810">
        <f t="shared" si="20"/>
        <v>0</v>
      </c>
      <c r="AA23" s="810">
        <f t="shared" si="20"/>
        <v>0</v>
      </c>
      <c r="AB23" s="810">
        <f t="shared" si="20"/>
        <v>0</v>
      </c>
      <c r="AC23" s="810">
        <f t="shared" si="20"/>
        <v>0</v>
      </c>
      <c r="AD23" s="830">
        <f>SUM(D23:AC23)</f>
        <v>66</v>
      </c>
      <c r="AE23" s="992">
        <v>4</v>
      </c>
      <c r="AF23" s="993">
        <v>0</v>
      </c>
      <c r="AG23" s="913">
        <f>SUM(AE23:AF23)</f>
        <v>4</v>
      </c>
      <c r="AH23" s="906">
        <v>0</v>
      </c>
      <c r="AI23" s="781">
        <v>0</v>
      </c>
      <c r="AJ23" s="782">
        <f>ROUND(AI23/SUM(AI$6:AI$11,AI$20)*19,0)</f>
        <v>0</v>
      </c>
      <c r="AL23" s="232"/>
      <c r="AM23" s="233"/>
      <c r="AZ23" s="227"/>
    </row>
    <row r="24" spans="1:52" ht="15" thickBot="1" x14ac:dyDescent="0.35">
      <c r="A24" s="159"/>
      <c r="B24" s="811"/>
      <c r="C24" s="812" t="s">
        <v>601</v>
      </c>
      <c r="D24" s="813"/>
      <c r="E24" s="813"/>
      <c r="F24" s="813"/>
      <c r="G24" s="814"/>
      <c r="H24" s="814"/>
      <c r="I24" s="814"/>
      <c r="J24" s="814"/>
      <c r="K24" s="814"/>
      <c r="L24" s="814"/>
      <c r="M24" s="814"/>
      <c r="N24" s="814"/>
      <c r="O24" s="814"/>
      <c r="P24" s="814"/>
      <c r="Q24" s="814"/>
      <c r="R24" s="814"/>
      <c r="S24" s="814"/>
      <c r="T24" s="814"/>
      <c r="U24" s="814"/>
      <c r="V24" s="814"/>
      <c r="W24" s="814"/>
      <c r="X24" s="814"/>
      <c r="Y24" s="814"/>
      <c r="Z24" s="814"/>
      <c r="AA24" s="814"/>
      <c r="AB24" s="814"/>
      <c r="AC24" s="814"/>
      <c r="AD24" s="831"/>
      <c r="AE24" s="835">
        <f>598-136-SUM(AE6:AE23)</f>
        <v>0</v>
      </c>
      <c r="AF24" s="1001">
        <v>0</v>
      </c>
      <c r="AG24" s="1002">
        <f>SUM(AE24:AF24)</f>
        <v>0</v>
      </c>
      <c r="AH24" s="1003">
        <v>0</v>
      </c>
      <c r="AI24" s="1004">
        <v>0</v>
      </c>
      <c r="AJ24" s="1005">
        <f t="shared" ref="AJ24" si="21">ROUND(AG24/AG$5*19,0)</f>
        <v>0</v>
      </c>
    </row>
    <row r="25" spans="1:52" x14ac:dyDescent="0.3">
      <c r="A25" s="159"/>
      <c r="B25" s="725" t="s">
        <v>545</v>
      </c>
      <c r="C25" s="726" t="s">
        <v>526</v>
      </c>
      <c r="D25" s="730">
        <f t="shared" ref="D25:G25" si="22">D28*$AG28/($AG25-$AG47)+D31*$AG31/2/($AG25-$AG47)+D34*$AG31/2/($AG25-$AG47)+D37*$AG37/($AG25-$AG47)+D40*$AG40/2/($AG25-$AG47)+D43*$AG40/2/($AG25-$AG47)+D46*$AG46/($AG25-$AG47)</f>
        <v>0</v>
      </c>
      <c r="E25" s="730">
        <f t="shared" si="22"/>
        <v>0</v>
      </c>
      <c r="F25" s="730">
        <f t="shared" si="22"/>
        <v>0</v>
      </c>
      <c r="G25" s="729">
        <f t="shared" si="22"/>
        <v>9.1786542923433867</v>
      </c>
      <c r="H25" s="799"/>
      <c r="I25" s="799"/>
      <c r="J25" s="799"/>
      <c r="K25" s="799"/>
      <c r="L25" s="729">
        <f t="shared" ref="L25:N25" si="23">L28*$AG28/($AG25-$AG47)+L31*$AG31/2/($AG25-$AG47)+L34*$AG31/2/($AG25-$AG47)+L37*$AG37/($AG25-$AG47)+L40*$AG40/2/($AG25-$AG47)+L43*$AG40/2/($AG25-$AG47)+L46*$AG46/($AG25-$AG47)</f>
        <v>0.25000000000000006</v>
      </c>
      <c r="M25" s="730">
        <f t="shared" si="23"/>
        <v>3.3201856148491879</v>
      </c>
      <c r="N25" s="730">
        <f t="shared" si="23"/>
        <v>0</v>
      </c>
      <c r="O25" s="730"/>
      <c r="P25" s="730">
        <f>P28*$AG28/($AG25-$AG47)+P31*$AG31/2/($AG25-$AG47)+P34*$AG31/2/($AG25-$AG47)+P37*$AG37/($AG25-$AG47)+P40*$AG40/2/($AG25-$AG47)+P43*$AG40/2/($AG25-$AG47)+P46*$AG46/($AG25-$AG47)</f>
        <v>1.0000000000000002</v>
      </c>
      <c r="Q25" s="730">
        <f t="shared" ref="Q25:AC25" si="24">Q28*$AG28/($AG25-$AG47)+Q31*$AG31/2/($AG25-$AG47)+Q34*$AG31/2/($AG25-$AG47)+Q37*$AG37/($AG25-$AG47)+Q40*$AG40/2/($AG25-$AG47)+Q43*$AG40/2/($AG25-$AG47)+Q46*$AG46/($AG25-$AG47)</f>
        <v>0</v>
      </c>
      <c r="R25" s="730">
        <f t="shared" si="24"/>
        <v>3.6241299303944312</v>
      </c>
      <c r="S25" s="730">
        <f t="shared" si="24"/>
        <v>13.857308584686773</v>
      </c>
      <c r="T25" s="730">
        <f t="shared" si="24"/>
        <v>1.2436194895591646</v>
      </c>
      <c r="U25" s="730">
        <f t="shared" si="24"/>
        <v>6.7563805104408354</v>
      </c>
      <c r="V25" s="730">
        <f t="shared" si="24"/>
        <v>0.74013921113689107</v>
      </c>
      <c r="W25" s="730">
        <f t="shared" si="24"/>
        <v>0.27842227378190254</v>
      </c>
      <c r="X25" s="730">
        <f t="shared" si="24"/>
        <v>0</v>
      </c>
      <c r="Y25" s="730">
        <f t="shared" si="24"/>
        <v>2.2273781902552203</v>
      </c>
      <c r="Z25" s="730">
        <f t="shared" si="24"/>
        <v>3.9443155452436193E-2</v>
      </c>
      <c r="AA25" s="730">
        <f t="shared" si="24"/>
        <v>7.8886310904872387E-2</v>
      </c>
      <c r="AB25" s="730">
        <f t="shared" si="24"/>
        <v>0.56612529002320178</v>
      </c>
      <c r="AC25" s="730">
        <f t="shared" si="24"/>
        <v>1.2064965197215776</v>
      </c>
      <c r="AD25" s="832">
        <f>SUM(D25:AC25)</f>
        <v>44.367169373549878</v>
      </c>
      <c r="AE25" s="1006">
        <f t="shared" ref="AE25:AJ25" si="25">SUM(AE26:AE47)</f>
        <v>537</v>
      </c>
      <c r="AF25" s="1007">
        <f t="shared" si="25"/>
        <v>0</v>
      </c>
      <c r="AG25" s="915">
        <f t="shared" si="25"/>
        <v>537</v>
      </c>
      <c r="AH25" s="908">
        <f t="shared" si="25"/>
        <v>104</v>
      </c>
      <c r="AI25" s="732">
        <f t="shared" si="25"/>
        <v>93</v>
      </c>
      <c r="AJ25" s="758">
        <f t="shared" si="25"/>
        <v>19</v>
      </c>
      <c r="AL25" s="232"/>
      <c r="AM25"/>
      <c r="AZ25" s="227"/>
    </row>
    <row r="26" spans="1:52" ht="30.6" customHeight="1" x14ac:dyDescent="0.3">
      <c r="A26" s="159">
        <f ca="1">OFFSET(A26,-5,0)+1</f>
        <v>7</v>
      </c>
      <c r="B26" s="736" t="str">
        <f ca="1">"Meranie č. "&amp;A26</f>
        <v>Meranie č. 7</v>
      </c>
      <c r="C26" s="1014" t="s">
        <v>612</v>
      </c>
      <c r="D26" s="779">
        <v>0</v>
      </c>
      <c r="E26" s="737">
        <v>0</v>
      </c>
      <c r="F26" s="737">
        <v>0</v>
      </c>
      <c r="G26" s="737">
        <v>12</v>
      </c>
      <c r="H26" s="737" t="s">
        <v>568</v>
      </c>
      <c r="I26" s="737" t="s">
        <v>568</v>
      </c>
      <c r="J26" s="737" t="s">
        <v>568</v>
      </c>
      <c r="K26" s="737" t="s">
        <v>568</v>
      </c>
      <c r="L26" s="737">
        <v>1</v>
      </c>
      <c r="M26" s="737">
        <v>4</v>
      </c>
      <c r="N26" s="737">
        <v>0</v>
      </c>
      <c r="O26" s="737" t="s">
        <v>572</v>
      </c>
      <c r="P26" s="737">
        <v>1</v>
      </c>
      <c r="Q26" s="737">
        <v>0</v>
      </c>
      <c r="R26" s="737">
        <v>26</v>
      </c>
      <c r="S26" s="737">
        <v>26</v>
      </c>
      <c r="T26" s="737">
        <v>8</v>
      </c>
      <c r="U26" s="737">
        <v>8</v>
      </c>
      <c r="V26" s="737">
        <v>0.5</v>
      </c>
      <c r="W26" s="737">
        <v>2</v>
      </c>
      <c r="X26" s="737">
        <v>0</v>
      </c>
      <c r="Y26" s="737">
        <v>16</v>
      </c>
      <c r="Z26" s="737">
        <v>1</v>
      </c>
      <c r="AA26" s="737">
        <v>2</v>
      </c>
      <c r="AB26" s="737">
        <v>20</v>
      </c>
      <c r="AC26" s="737">
        <v>40</v>
      </c>
      <c r="AD26" s="827">
        <f>SUM(D26:AC26)</f>
        <v>167.5</v>
      </c>
      <c r="AE26" s="990"/>
      <c r="AF26" s="991"/>
      <c r="AG26" s="912"/>
      <c r="AH26" s="904"/>
      <c r="AI26" s="738"/>
      <c r="AJ26" s="759"/>
      <c r="AL26" s="232"/>
      <c r="AZ26" s="227"/>
    </row>
    <row r="27" spans="1:52" x14ac:dyDescent="0.3">
      <c r="A27" s="159"/>
      <c r="B27" s="734"/>
      <c r="C27" s="718" t="s">
        <v>532</v>
      </c>
      <c r="D27" s="780">
        <v>0</v>
      </c>
      <c r="E27" s="783">
        <v>0</v>
      </c>
      <c r="F27" s="783">
        <v>0</v>
      </c>
      <c r="G27" s="783">
        <v>1</v>
      </c>
      <c r="H27" s="783"/>
      <c r="I27" s="783"/>
      <c r="J27" s="783"/>
      <c r="K27" s="783"/>
      <c r="L27" s="783">
        <v>0.25</v>
      </c>
      <c r="M27" s="783">
        <v>0.75</v>
      </c>
      <c r="N27" s="783">
        <v>0</v>
      </c>
      <c r="O27" s="783"/>
      <c r="P27" s="783">
        <v>1</v>
      </c>
      <c r="Q27" s="783">
        <v>0</v>
      </c>
      <c r="R27" s="783">
        <f>AH28/AG28</f>
        <v>0.34285714285714286</v>
      </c>
      <c r="S27" s="783">
        <f>1-R27</f>
        <v>0.65714285714285714</v>
      </c>
      <c r="T27" s="783">
        <f>$R27</f>
        <v>0.34285714285714286</v>
      </c>
      <c r="U27" s="783">
        <f>$S27</f>
        <v>0.65714285714285714</v>
      </c>
      <c r="V27" s="783">
        <v>1</v>
      </c>
      <c r="W27" s="783">
        <f>AI28/AG28</f>
        <v>0.31428571428571428</v>
      </c>
      <c r="X27" s="783">
        <v>0</v>
      </c>
      <c r="Y27" s="783">
        <f>W27</f>
        <v>0.31428571428571428</v>
      </c>
      <c r="Z27" s="783">
        <f>AJ28/AG28</f>
        <v>5.7142857142857141E-2</v>
      </c>
      <c r="AA27" s="783">
        <f>$Z27</f>
        <v>5.7142857142857141E-2</v>
      </c>
      <c r="AB27" s="783">
        <f>$AA27</f>
        <v>5.7142857142857141E-2</v>
      </c>
      <c r="AC27" s="783">
        <f>$AA27</f>
        <v>5.7142857142857141E-2</v>
      </c>
      <c r="AD27" s="828"/>
      <c r="AE27" s="992"/>
      <c r="AF27" s="993"/>
      <c r="AG27" s="913"/>
      <c r="AH27" s="906"/>
      <c r="AI27" s="781"/>
      <c r="AJ27" s="782"/>
      <c r="AL27" s="232"/>
      <c r="AM27" s="233"/>
      <c r="AZ27" s="227"/>
    </row>
    <row r="28" spans="1:52" x14ac:dyDescent="0.3">
      <c r="A28" s="159"/>
      <c r="B28" s="231"/>
      <c r="C28" s="718" t="s">
        <v>600</v>
      </c>
      <c r="D28" s="784">
        <f>D26*D27</f>
        <v>0</v>
      </c>
      <c r="E28" s="785">
        <f t="shared" ref="E28:G28" si="26">E26*E27</f>
        <v>0</v>
      </c>
      <c r="F28" s="785">
        <f t="shared" si="26"/>
        <v>0</v>
      </c>
      <c r="G28" s="785">
        <f t="shared" si="26"/>
        <v>12</v>
      </c>
      <c r="H28" s="785"/>
      <c r="I28" s="785"/>
      <c r="J28" s="785"/>
      <c r="K28" s="785"/>
      <c r="L28" s="785">
        <f t="shared" ref="L28:N28" si="27">L26*L27</f>
        <v>0.25</v>
      </c>
      <c r="M28" s="785">
        <f t="shared" si="27"/>
        <v>3</v>
      </c>
      <c r="N28" s="785">
        <f t="shared" si="27"/>
        <v>0</v>
      </c>
      <c r="O28" s="785"/>
      <c r="P28" s="785">
        <f t="shared" ref="P28:AC28" si="28">P26*P27</f>
        <v>1</v>
      </c>
      <c r="Q28" s="785">
        <f t="shared" si="28"/>
        <v>0</v>
      </c>
      <c r="R28" s="785">
        <f t="shared" si="28"/>
        <v>8.9142857142857146</v>
      </c>
      <c r="S28" s="785">
        <f t="shared" si="28"/>
        <v>17.085714285714285</v>
      </c>
      <c r="T28" s="785">
        <f t="shared" si="28"/>
        <v>2.7428571428571429</v>
      </c>
      <c r="U28" s="785">
        <f t="shared" si="28"/>
        <v>5.2571428571428571</v>
      </c>
      <c r="V28" s="785">
        <f t="shared" si="28"/>
        <v>0.5</v>
      </c>
      <c r="W28" s="785">
        <f t="shared" si="28"/>
        <v>0.62857142857142856</v>
      </c>
      <c r="X28" s="785">
        <f t="shared" si="28"/>
        <v>0</v>
      </c>
      <c r="Y28" s="785">
        <f t="shared" si="28"/>
        <v>5.0285714285714285</v>
      </c>
      <c r="Z28" s="785">
        <f t="shared" si="28"/>
        <v>5.7142857142857141E-2</v>
      </c>
      <c r="AA28" s="785">
        <f t="shared" si="28"/>
        <v>0.11428571428571428</v>
      </c>
      <c r="AB28" s="785">
        <f t="shared" si="28"/>
        <v>1.1428571428571428</v>
      </c>
      <c r="AC28" s="785">
        <f t="shared" si="28"/>
        <v>2.2857142857142856</v>
      </c>
      <c r="AD28" s="829">
        <f>SUM(D28:AC28)</f>
        <v>60.00714285714286</v>
      </c>
      <c r="AE28" s="994">
        <v>35</v>
      </c>
      <c r="AF28" s="995">
        <v>0</v>
      </c>
      <c r="AG28" s="914">
        <f>SUM(AE28:AF28)</f>
        <v>35</v>
      </c>
      <c r="AH28" s="907">
        <f>-ROUND(AG28/SUM(AG$26:AG$31,AG$47)*SUM(-104,AH$35:AH$46),0)</f>
        <v>12</v>
      </c>
      <c r="AI28" s="786">
        <f>-ROUND(AH28/SUM(AH$26:AH$31,AH$47)*SUM(-93,AI$35:AI$46),0)</f>
        <v>11</v>
      </c>
      <c r="AJ28" s="787">
        <f>-ROUND(AI28/SUM(AI$26:AI$31,AI$47)*SUM(-19,AJ$35:AJ$46),0)</f>
        <v>2</v>
      </c>
      <c r="AL28" s="232"/>
      <c r="AM28" s="233"/>
      <c r="AZ28" s="227"/>
    </row>
    <row r="29" spans="1:52" ht="61.95" customHeight="1" x14ac:dyDescent="0.3">
      <c r="A29" s="159">
        <f ca="1">OFFSET(A29,-3,0)+1</f>
        <v>8</v>
      </c>
      <c r="B29" s="736" t="str">
        <f ca="1">"Meranie č. "&amp;A29</f>
        <v>Meranie č. 8</v>
      </c>
      <c r="C29" s="1014" t="s">
        <v>621</v>
      </c>
      <c r="D29" s="779">
        <v>0</v>
      </c>
      <c r="E29" s="737">
        <v>0</v>
      </c>
      <c r="F29" s="737">
        <v>0</v>
      </c>
      <c r="G29" s="737">
        <v>8</v>
      </c>
      <c r="H29" s="737" t="s">
        <v>568</v>
      </c>
      <c r="I29" s="737" t="s">
        <v>568</v>
      </c>
      <c r="J29" s="737" t="s">
        <v>568</v>
      </c>
      <c r="K29" s="737" t="s">
        <v>568</v>
      </c>
      <c r="L29" s="737">
        <v>1</v>
      </c>
      <c r="M29" s="737">
        <v>4</v>
      </c>
      <c r="N29" s="737">
        <v>0</v>
      </c>
      <c r="O29" s="737" t="s">
        <v>572</v>
      </c>
      <c r="P29" s="737">
        <v>1</v>
      </c>
      <c r="Q29" s="737">
        <v>0</v>
      </c>
      <c r="R29" s="737">
        <v>26</v>
      </c>
      <c r="S29" s="737">
        <v>26</v>
      </c>
      <c r="T29" s="737">
        <v>8</v>
      </c>
      <c r="U29" s="737">
        <v>8</v>
      </c>
      <c r="V29" s="737">
        <v>0.5</v>
      </c>
      <c r="W29" s="737">
        <v>2</v>
      </c>
      <c r="X29" s="737">
        <v>0</v>
      </c>
      <c r="Y29" s="737">
        <v>16</v>
      </c>
      <c r="Z29" s="737">
        <v>1</v>
      </c>
      <c r="AA29" s="737">
        <v>2</v>
      </c>
      <c r="AB29" s="737">
        <v>20</v>
      </c>
      <c r="AC29" s="737">
        <v>40</v>
      </c>
      <c r="AD29" s="827">
        <f>SUM(D29:AC29)</f>
        <v>163.5</v>
      </c>
      <c r="AE29" s="990"/>
      <c r="AF29" s="991"/>
      <c r="AG29" s="912"/>
      <c r="AH29" s="904"/>
      <c r="AI29" s="738"/>
      <c r="AJ29" s="759"/>
      <c r="AL29" s="232"/>
      <c r="AZ29" s="227"/>
    </row>
    <row r="30" spans="1:52" x14ac:dyDescent="0.3">
      <c r="A30" s="159"/>
      <c r="B30" s="734"/>
      <c r="C30" s="718" t="s">
        <v>532</v>
      </c>
      <c r="D30" s="780">
        <v>0</v>
      </c>
      <c r="E30" s="783">
        <v>0</v>
      </c>
      <c r="F30" s="783">
        <v>0</v>
      </c>
      <c r="G30" s="783">
        <v>1</v>
      </c>
      <c r="H30" s="783"/>
      <c r="I30" s="783"/>
      <c r="J30" s="783"/>
      <c r="K30" s="783"/>
      <c r="L30" s="783">
        <v>0.25</v>
      </c>
      <c r="M30" s="783">
        <v>0.75</v>
      </c>
      <c r="N30" s="783">
        <v>0</v>
      </c>
      <c r="O30" s="783"/>
      <c r="P30" s="783">
        <v>1</v>
      </c>
      <c r="Q30" s="783">
        <v>0</v>
      </c>
      <c r="R30" s="783">
        <f>AH31/AG31</f>
        <v>0.34965034965034963</v>
      </c>
      <c r="S30" s="783">
        <f>1-R30</f>
        <v>0.65034965034965042</v>
      </c>
      <c r="T30" s="783">
        <f>$R30</f>
        <v>0.34965034965034963</v>
      </c>
      <c r="U30" s="783">
        <f>$S30</f>
        <v>0.65034965034965042</v>
      </c>
      <c r="V30" s="783">
        <v>1</v>
      </c>
      <c r="W30" s="783">
        <f>AI31/AG31</f>
        <v>0.31468531468531469</v>
      </c>
      <c r="X30" s="783">
        <v>0</v>
      </c>
      <c r="Y30" s="783">
        <f>W30</f>
        <v>0.31468531468531469</v>
      </c>
      <c r="Z30" s="783">
        <f>AJ31/AG31</f>
        <v>4.8951048951048952E-2</v>
      </c>
      <c r="AA30" s="783">
        <f>$Z30</f>
        <v>4.8951048951048952E-2</v>
      </c>
      <c r="AB30" s="783">
        <f>$AA30</f>
        <v>4.8951048951048952E-2</v>
      </c>
      <c r="AC30" s="783">
        <f>$AA30</f>
        <v>4.8951048951048952E-2</v>
      </c>
      <c r="AD30" s="828"/>
      <c r="AE30" s="992"/>
      <c r="AF30" s="993"/>
      <c r="AG30" s="913"/>
      <c r="AH30" s="906"/>
      <c r="AI30" s="781"/>
      <c r="AJ30" s="782"/>
      <c r="AL30" s="232"/>
      <c r="AM30" s="233"/>
      <c r="AZ30" s="227"/>
    </row>
    <row r="31" spans="1:52" x14ac:dyDescent="0.3">
      <c r="A31" s="159"/>
      <c r="B31" s="231"/>
      <c r="C31" s="718" t="s">
        <v>600</v>
      </c>
      <c r="D31" s="784">
        <f>D29*D30</f>
        <v>0</v>
      </c>
      <c r="E31" s="785">
        <f t="shared" ref="E31:G31" si="29">E29*E30</f>
        <v>0</v>
      </c>
      <c r="F31" s="785">
        <f t="shared" si="29"/>
        <v>0</v>
      </c>
      <c r="G31" s="785">
        <f t="shared" si="29"/>
        <v>8</v>
      </c>
      <c r="H31" s="785"/>
      <c r="I31" s="785"/>
      <c r="J31" s="785"/>
      <c r="K31" s="785"/>
      <c r="L31" s="785">
        <f t="shared" ref="L31:N31" si="30">L29*L30</f>
        <v>0.25</v>
      </c>
      <c r="M31" s="785">
        <f t="shared" si="30"/>
        <v>3</v>
      </c>
      <c r="N31" s="785">
        <f t="shared" si="30"/>
        <v>0</v>
      </c>
      <c r="O31" s="785"/>
      <c r="P31" s="785">
        <f t="shared" ref="P31:AC31" si="31">P29*P30</f>
        <v>1</v>
      </c>
      <c r="Q31" s="785">
        <f t="shared" si="31"/>
        <v>0</v>
      </c>
      <c r="R31" s="785">
        <f t="shared" si="31"/>
        <v>9.0909090909090899</v>
      </c>
      <c r="S31" s="785">
        <f t="shared" si="31"/>
        <v>16.90909090909091</v>
      </c>
      <c r="T31" s="785">
        <f t="shared" si="31"/>
        <v>2.7972027972027971</v>
      </c>
      <c r="U31" s="785">
        <f t="shared" si="31"/>
        <v>5.2027972027972034</v>
      </c>
      <c r="V31" s="785">
        <f t="shared" si="31"/>
        <v>0.5</v>
      </c>
      <c r="W31" s="785">
        <f t="shared" si="31"/>
        <v>0.62937062937062938</v>
      </c>
      <c r="X31" s="785">
        <f t="shared" si="31"/>
        <v>0</v>
      </c>
      <c r="Y31" s="785">
        <f t="shared" si="31"/>
        <v>5.034965034965035</v>
      </c>
      <c r="Z31" s="785">
        <f t="shared" si="31"/>
        <v>4.8951048951048952E-2</v>
      </c>
      <c r="AA31" s="785">
        <f t="shared" si="31"/>
        <v>9.7902097902097904E-2</v>
      </c>
      <c r="AB31" s="785">
        <f t="shared" si="31"/>
        <v>0.97902097902097907</v>
      </c>
      <c r="AC31" s="785">
        <f t="shared" si="31"/>
        <v>1.9580419580419581</v>
      </c>
      <c r="AD31" s="829">
        <f>SUM(D31:AC31)</f>
        <v>55.498251748251747</v>
      </c>
      <c r="AE31" s="992">
        <v>143</v>
      </c>
      <c r="AF31" s="993">
        <v>0</v>
      </c>
      <c r="AG31" s="913">
        <f>SUM(AE31:AF31)</f>
        <v>143</v>
      </c>
      <c r="AH31" s="906">
        <f>-ROUND(AG31/SUM(AG$26:AG$31,AG$47)*SUM(-104,AH$35:AH$46),0)</f>
        <v>50</v>
      </c>
      <c r="AI31" s="781">
        <f>-ROUND(AH31/SUM(AH$26:AH$31,AH$47)*SUM(-93,AI$35:AI$46),0)</f>
        <v>45</v>
      </c>
      <c r="AJ31" s="782">
        <f>-ROUND(AI31/SUM(AI$26:AI$31,AI$47)*SUM(-19,AJ$35:AJ$46),0)-1</f>
        <v>7</v>
      </c>
      <c r="AL31" s="232"/>
      <c r="AM31" s="233"/>
      <c r="AZ31" s="227"/>
    </row>
    <row r="32" spans="1:52" ht="69.599999999999994" customHeight="1" x14ac:dyDescent="0.3">
      <c r="A32" s="159">
        <f ca="1">OFFSET(A32,-3,0)+1</f>
        <v>9</v>
      </c>
      <c r="B32" s="736" t="str">
        <f ca="1">"Meranie č. "&amp;A32</f>
        <v>Meranie č. 9</v>
      </c>
      <c r="C32" s="1014" t="s">
        <v>767</v>
      </c>
      <c r="D32" s="779">
        <v>0</v>
      </c>
      <c r="E32" s="737">
        <v>0</v>
      </c>
      <c r="F32" s="737">
        <v>0</v>
      </c>
      <c r="G32" s="737">
        <v>8</v>
      </c>
      <c r="H32" s="737" t="s">
        <v>568</v>
      </c>
      <c r="I32" s="737" t="s">
        <v>568</v>
      </c>
      <c r="J32" s="737" t="s">
        <v>568</v>
      </c>
      <c r="K32" s="737" t="s">
        <v>568</v>
      </c>
      <c r="L32" s="737">
        <v>1</v>
      </c>
      <c r="M32" s="737">
        <v>4</v>
      </c>
      <c r="N32" s="737">
        <v>0</v>
      </c>
      <c r="O32" s="737" t="s">
        <v>572</v>
      </c>
      <c r="P32" s="737">
        <v>1</v>
      </c>
      <c r="Q32" s="737">
        <v>0</v>
      </c>
      <c r="R32" s="737">
        <v>20</v>
      </c>
      <c r="S32" s="737">
        <v>15</v>
      </c>
      <c r="T32" s="737">
        <v>8</v>
      </c>
      <c r="U32" s="737">
        <v>8</v>
      </c>
      <c r="V32" s="737">
        <v>0.5</v>
      </c>
      <c r="W32" s="737">
        <v>2</v>
      </c>
      <c r="X32" s="737">
        <v>0</v>
      </c>
      <c r="Y32" s="737">
        <v>16</v>
      </c>
      <c r="Z32" s="737">
        <v>1</v>
      </c>
      <c r="AA32" s="737">
        <v>2</v>
      </c>
      <c r="AB32" s="737">
        <v>20</v>
      </c>
      <c r="AC32" s="737">
        <v>40</v>
      </c>
      <c r="AD32" s="827">
        <f>SUM(D32:AC32)</f>
        <v>146.5</v>
      </c>
      <c r="AE32" s="996"/>
      <c r="AF32" s="997"/>
      <c r="AG32" s="998"/>
      <c r="AH32" s="999"/>
      <c r="AI32" s="1000"/>
      <c r="AJ32" s="769"/>
      <c r="AL32" s="232"/>
      <c r="AZ32" s="227"/>
    </row>
    <row r="33" spans="1:52" x14ac:dyDescent="0.3">
      <c r="A33" s="159"/>
      <c r="B33" s="734"/>
      <c r="C33" s="718" t="s">
        <v>532</v>
      </c>
      <c r="D33" s="780">
        <v>0</v>
      </c>
      <c r="E33" s="783">
        <v>0</v>
      </c>
      <c r="F33" s="783">
        <v>0</v>
      </c>
      <c r="G33" s="783">
        <v>1</v>
      </c>
      <c r="H33" s="783"/>
      <c r="I33" s="783"/>
      <c r="J33" s="783"/>
      <c r="K33" s="783"/>
      <c r="L33" s="783">
        <v>0.25</v>
      </c>
      <c r="M33" s="783">
        <v>0.75</v>
      </c>
      <c r="N33" s="783">
        <v>0</v>
      </c>
      <c r="O33" s="783"/>
      <c r="P33" s="783">
        <v>1</v>
      </c>
      <c r="Q33" s="783">
        <v>0</v>
      </c>
      <c r="R33" s="783">
        <f>AH31/AG31</f>
        <v>0.34965034965034963</v>
      </c>
      <c r="S33" s="783">
        <f>1-R33</f>
        <v>0.65034965034965042</v>
      </c>
      <c r="T33" s="783">
        <f>$R33</f>
        <v>0.34965034965034963</v>
      </c>
      <c r="U33" s="783">
        <f>$S33</f>
        <v>0.65034965034965042</v>
      </c>
      <c r="V33" s="783">
        <v>1</v>
      </c>
      <c r="W33" s="783">
        <f>AI31/AG31</f>
        <v>0.31468531468531469</v>
      </c>
      <c r="X33" s="783">
        <v>0</v>
      </c>
      <c r="Y33" s="783">
        <f>W33</f>
        <v>0.31468531468531469</v>
      </c>
      <c r="Z33" s="783">
        <f>AJ31/AG31</f>
        <v>4.8951048951048952E-2</v>
      </c>
      <c r="AA33" s="783">
        <f>$Z33</f>
        <v>4.8951048951048952E-2</v>
      </c>
      <c r="AB33" s="783">
        <f>$AA33</f>
        <v>4.8951048951048952E-2</v>
      </c>
      <c r="AC33" s="783">
        <f>$AA33</f>
        <v>4.8951048951048952E-2</v>
      </c>
      <c r="AD33" s="828"/>
      <c r="AE33" s="992"/>
      <c r="AF33" s="993"/>
      <c r="AG33" s="913"/>
      <c r="AH33" s="906"/>
      <c r="AI33" s="781"/>
      <c r="AJ33" s="782"/>
      <c r="AL33" s="232"/>
      <c r="AM33" s="233"/>
      <c r="AZ33" s="227"/>
    </row>
    <row r="34" spans="1:52" x14ac:dyDescent="0.3">
      <c r="A34" s="159"/>
      <c r="B34" s="231"/>
      <c r="C34" s="718" t="s">
        <v>600</v>
      </c>
      <c r="D34" s="784">
        <f>D32*D33</f>
        <v>0</v>
      </c>
      <c r="E34" s="785">
        <f t="shared" ref="E34:G34" si="32">E32*E33</f>
        <v>0</v>
      </c>
      <c r="F34" s="785">
        <f t="shared" si="32"/>
        <v>0</v>
      </c>
      <c r="G34" s="785">
        <f t="shared" si="32"/>
        <v>8</v>
      </c>
      <c r="H34" s="785"/>
      <c r="I34" s="785"/>
      <c r="J34" s="785"/>
      <c r="K34" s="785"/>
      <c r="L34" s="785">
        <f t="shared" ref="L34:N34" si="33">L32*L33</f>
        <v>0.25</v>
      </c>
      <c r="M34" s="785">
        <f t="shared" si="33"/>
        <v>3</v>
      </c>
      <c r="N34" s="785">
        <f t="shared" si="33"/>
        <v>0</v>
      </c>
      <c r="O34" s="785"/>
      <c r="P34" s="785">
        <f t="shared" ref="P34:AC34" si="34">P32*P33</f>
        <v>1</v>
      </c>
      <c r="Q34" s="785">
        <f t="shared" si="34"/>
        <v>0</v>
      </c>
      <c r="R34" s="785">
        <f t="shared" si="34"/>
        <v>6.9930069930069925</v>
      </c>
      <c r="S34" s="785">
        <f t="shared" si="34"/>
        <v>9.7552447552447568</v>
      </c>
      <c r="T34" s="785">
        <f t="shared" si="34"/>
        <v>2.7972027972027971</v>
      </c>
      <c r="U34" s="785">
        <f t="shared" si="34"/>
        <v>5.2027972027972034</v>
      </c>
      <c r="V34" s="785">
        <f t="shared" si="34"/>
        <v>0.5</v>
      </c>
      <c r="W34" s="785">
        <f t="shared" si="34"/>
        <v>0.62937062937062938</v>
      </c>
      <c r="X34" s="785">
        <f t="shared" si="34"/>
        <v>0</v>
      </c>
      <c r="Y34" s="785">
        <f t="shared" si="34"/>
        <v>5.034965034965035</v>
      </c>
      <c r="Z34" s="785">
        <f t="shared" si="34"/>
        <v>4.8951048951048952E-2</v>
      </c>
      <c r="AA34" s="785">
        <f t="shared" si="34"/>
        <v>9.7902097902097904E-2</v>
      </c>
      <c r="AB34" s="785">
        <f t="shared" si="34"/>
        <v>0.97902097902097907</v>
      </c>
      <c r="AC34" s="785">
        <f t="shared" si="34"/>
        <v>1.9580419580419581</v>
      </c>
      <c r="AD34" s="829">
        <f>SUM(D34:AC34)</f>
        <v>46.246503496503493</v>
      </c>
      <c r="AE34" s="994"/>
      <c r="AF34" s="995"/>
      <c r="AG34" s="914"/>
      <c r="AH34" s="907"/>
      <c r="AI34" s="786"/>
      <c r="AJ34" s="787"/>
      <c r="AL34" s="232"/>
      <c r="AM34" s="233"/>
      <c r="AZ34" s="227"/>
    </row>
    <row r="35" spans="1:52" ht="42.6" customHeight="1" x14ac:dyDescent="0.3">
      <c r="A35" s="159">
        <f ca="1">OFFSET(A35,-3,0)+1</f>
        <v>10</v>
      </c>
      <c r="B35" s="981" t="str">
        <f ca="1">"Meranie č. "&amp;A35</f>
        <v>Meranie č. 10</v>
      </c>
      <c r="C35" s="1014" t="s">
        <v>613</v>
      </c>
      <c r="D35" s="779">
        <v>0</v>
      </c>
      <c r="E35" s="737">
        <v>0</v>
      </c>
      <c r="F35" s="737">
        <v>0</v>
      </c>
      <c r="G35" s="737">
        <v>8</v>
      </c>
      <c r="H35" s="737" t="s">
        <v>568</v>
      </c>
      <c r="I35" s="737" t="s">
        <v>568</v>
      </c>
      <c r="J35" s="737" t="s">
        <v>568</v>
      </c>
      <c r="K35" s="737" t="s">
        <v>568</v>
      </c>
      <c r="L35" s="737">
        <v>1</v>
      </c>
      <c r="M35" s="737">
        <v>4</v>
      </c>
      <c r="N35" s="737">
        <v>0</v>
      </c>
      <c r="O35" s="737" t="s">
        <v>572</v>
      </c>
      <c r="P35" s="737">
        <v>1</v>
      </c>
      <c r="Q35" s="737">
        <v>0</v>
      </c>
      <c r="R35" s="737">
        <v>20</v>
      </c>
      <c r="S35" s="737">
        <v>15</v>
      </c>
      <c r="T35" s="737">
        <v>8</v>
      </c>
      <c r="U35" s="737">
        <v>8</v>
      </c>
      <c r="V35" s="737">
        <v>1</v>
      </c>
      <c r="W35" s="737">
        <v>2</v>
      </c>
      <c r="X35" s="737">
        <v>0</v>
      </c>
      <c r="Y35" s="737">
        <v>16</v>
      </c>
      <c r="Z35" s="737">
        <v>2</v>
      </c>
      <c r="AA35" s="737">
        <v>4</v>
      </c>
      <c r="AB35" s="737">
        <v>16</v>
      </c>
      <c r="AC35" s="737">
        <v>40</v>
      </c>
      <c r="AD35" s="827">
        <f>SUM(D35:AC35)</f>
        <v>146</v>
      </c>
      <c r="AE35" s="990"/>
      <c r="AF35" s="991"/>
      <c r="AG35" s="912"/>
      <c r="AH35" s="904"/>
      <c r="AI35" s="738"/>
      <c r="AJ35" s="759"/>
      <c r="AL35" s="232"/>
      <c r="AZ35" s="227"/>
    </row>
    <row r="36" spans="1:52" x14ac:dyDescent="0.3">
      <c r="A36" s="159"/>
      <c r="B36" s="734"/>
      <c r="C36" s="718" t="s">
        <v>532</v>
      </c>
      <c r="D36" s="780">
        <v>0</v>
      </c>
      <c r="E36" s="783">
        <v>0</v>
      </c>
      <c r="F36" s="783">
        <v>0</v>
      </c>
      <c r="G36" s="783">
        <v>1</v>
      </c>
      <c r="H36" s="783"/>
      <c r="I36" s="783"/>
      <c r="J36" s="783"/>
      <c r="K36" s="783"/>
      <c r="L36" s="783">
        <v>0.25</v>
      </c>
      <c r="M36" s="783">
        <v>0.75</v>
      </c>
      <c r="N36" s="783">
        <v>0</v>
      </c>
      <c r="O36" s="783"/>
      <c r="P36" s="783">
        <v>1</v>
      </c>
      <c r="Q36" s="783">
        <v>0</v>
      </c>
      <c r="R36" s="783">
        <f>AH37/AG37</f>
        <v>2.9239766081871343E-2</v>
      </c>
      <c r="S36" s="783">
        <f>1-R36</f>
        <v>0.97076023391812871</v>
      </c>
      <c r="T36" s="783">
        <f>$R36</f>
        <v>2.9239766081871343E-2</v>
      </c>
      <c r="U36" s="783">
        <f>$S36</f>
        <v>0.97076023391812871</v>
      </c>
      <c r="V36" s="783">
        <v>1</v>
      </c>
      <c r="W36" s="783">
        <f>AI37/AG37</f>
        <v>2.3391812865497075E-2</v>
      </c>
      <c r="X36" s="783">
        <v>0</v>
      </c>
      <c r="Y36" s="783">
        <f>W36</f>
        <v>2.3391812865497075E-2</v>
      </c>
      <c r="Z36" s="783">
        <f>AJ37/AG37</f>
        <v>2.3391812865497075E-2</v>
      </c>
      <c r="AA36" s="783">
        <f>$Z36</f>
        <v>2.3391812865497075E-2</v>
      </c>
      <c r="AB36" s="783">
        <f>$AA36</f>
        <v>2.3391812865497075E-2</v>
      </c>
      <c r="AC36" s="783">
        <f>$AA36</f>
        <v>2.3391812865497075E-2</v>
      </c>
      <c r="AD36" s="828"/>
      <c r="AE36" s="992"/>
      <c r="AF36" s="993"/>
      <c r="AG36" s="913"/>
      <c r="AH36" s="906"/>
      <c r="AI36" s="781"/>
      <c r="AJ36" s="782"/>
      <c r="AL36" s="232"/>
      <c r="AM36" s="233"/>
      <c r="AZ36" s="227"/>
    </row>
    <row r="37" spans="1:52" x14ac:dyDescent="0.3">
      <c r="A37" s="159"/>
      <c r="B37" s="231"/>
      <c r="C37" s="718" t="s">
        <v>600</v>
      </c>
      <c r="D37" s="784">
        <f>D35*D36</f>
        <v>0</v>
      </c>
      <c r="E37" s="785">
        <f t="shared" ref="E37:G37" si="35">E35*E36</f>
        <v>0</v>
      </c>
      <c r="F37" s="785">
        <f t="shared" si="35"/>
        <v>0</v>
      </c>
      <c r="G37" s="785">
        <f t="shared" si="35"/>
        <v>8</v>
      </c>
      <c r="H37" s="785"/>
      <c r="I37" s="785"/>
      <c r="J37" s="785"/>
      <c r="K37" s="785"/>
      <c r="L37" s="785">
        <f t="shared" ref="L37:N37" si="36">L35*L36</f>
        <v>0.25</v>
      </c>
      <c r="M37" s="785">
        <f t="shared" si="36"/>
        <v>3</v>
      </c>
      <c r="N37" s="785">
        <f t="shared" si="36"/>
        <v>0</v>
      </c>
      <c r="O37" s="785"/>
      <c r="P37" s="785">
        <f t="shared" ref="P37:AC37" si="37">P35*P36</f>
        <v>1</v>
      </c>
      <c r="Q37" s="785">
        <f t="shared" si="37"/>
        <v>0</v>
      </c>
      <c r="R37" s="785">
        <f t="shared" si="37"/>
        <v>0.58479532163742687</v>
      </c>
      <c r="S37" s="785">
        <f t="shared" si="37"/>
        <v>14.561403508771932</v>
      </c>
      <c r="T37" s="785">
        <f t="shared" si="37"/>
        <v>0.23391812865497075</v>
      </c>
      <c r="U37" s="785">
        <f t="shared" si="37"/>
        <v>7.7660818713450297</v>
      </c>
      <c r="V37" s="785">
        <f t="shared" si="37"/>
        <v>1</v>
      </c>
      <c r="W37" s="785">
        <f t="shared" si="37"/>
        <v>4.6783625730994149E-2</v>
      </c>
      <c r="X37" s="785">
        <f t="shared" si="37"/>
        <v>0</v>
      </c>
      <c r="Y37" s="785">
        <f t="shared" si="37"/>
        <v>0.3742690058479532</v>
      </c>
      <c r="Z37" s="785">
        <f t="shared" si="37"/>
        <v>4.6783625730994149E-2</v>
      </c>
      <c r="AA37" s="785">
        <f t="shared" si="37"/>
        <v>9.3567251461988299E-2</v>
      </c>
      <c r="AB37" s="785">
        <f t="shared" si="37"/>
        <v>0.3742690058479532</v>
      </c>
      <c r="AC37" s="785">
        <f t="shared" si="37"/>
        <v>0.93567251461988299</v>
      </c>
      <c r="AD37" s="829">
        <f>SUM(D37:AC37)</f>
        <v>38.267543859649123</v>
      </c>
      <c r="AE37" s="994">
        <v>171</v>
      </c>
      <c r="AF37" s="995">
        <v>0</v>
      </c>
      <c r="AG37" s="914">
        <f>SUM(AE37:AF37)</f>
        <v>171</v>
      </c>
      <c r="AH37" s="907">
        <v>5</v>
      </c>
      <c r="AI37" s="786">
        <v>4</v>
      </c>
      <c r="AJ37" s="787">
        <v>4</v>
      </c>
      <c r="AL37" s="232"/>
      <c r="AM37" s="233"/>
      <c r="AZ37" s="227"/>
    </row>
    <row r="38" spans="1:52" ht="56.4" customHeight="1" x14ac:dyDescent="0.3">
      <c r="A38" s="159">
        <f ca="1">OFFSET(A38,-3,0)+1</f>
        <v>11</v>
      </c>
      <c r="B38" s="981" t="str">
        <f ca="1">"Meranie č. "&amp;A38</f>
        <v>Meranie č. 11</v>
      </c>
      <c r="C38" s="1014" t="s">
        <v>614</v>
      </c>
      <c r="D38" s="779">
        <v>0</v>
      </c>
      <c r="E38" s="737">
        <v>0</v>
      </c>
      <c r="F38" s="737">
        <v>0</v>
      </c>
      <c r="G38" s="737">
        <v>8</v>
      </c>
      <c r="H38" s="737" t="s">
        <v>568</v>
      </c>
      <c r="I38" s="737" t="s">
        <v>568</v>
      </c>
      <c r="J38" s="737" t="s">
        <v>568</v>
      </c>
      <c r="K38" s="737" t="s">
        <v>568</v>
      </c>
      <c r="L38" s="737">
        <v>1</v>
      </c>
      <c r="M38" s="737">
        <v>4</v>
      </c>
      <c r="N38" s="737">
        <v>0</v>
      </c>
      <c r="O38" s="737" t="s">
        <v>572</v>
      </c>
      <c r="P38" s="737">
        <v>1</v>
      </c>
      <c r="Q38" s="737">
        <v>0</v>
      </c>
      <c r="R38" s="737">
        <v>26</v>
      </c>
      <c r="S38" s="737">
        <v>8</v>
      </c>
      <c r="T38" s="737">
        <v>8</v>
      </c>
      <c r="U38" s="737">
        <v>8</v>
      </c>
      <c r="V38" s="737">
        <v>1</v>
      </c>
      <c r="W38" s="737">
        <v>2</v>
      </c>
      <c r="X38" s="737">
        <v>0</v>
      </c>
      <c r="Y38" s="737">
        <v>10</v>
      </c>
      <c r="Z38" s="737">
        <v>1</v>
      </c>
      <c r="AA38" s="737">
        <v>2</v>
      </c>
      <c r="AB38" s="737">
        <v>8</v>
      </c>
      <c r="AC38" s="737">
        <v>35</v>
      </c>
      <c r="AD38" s="827">
        <f>SUM(D38:AC38)</f>
        <v>123</v>
      </c>
      <c r="AE38" s="990"/>
      <c r="AF38" s="991"/>
      <c r="AG38" s="912"/>
      <c r="AH38" s="904"/>
      <c r="AI38" s="738"/>
      <c r="AJ38" s="759"/>
      <c r="AL38" s="232"/>
      <c r="AZ38" s="227"/>
    </row>
    <row r="39" spans="1:52" x14ac:dyDescent="0.3">
      <c r="A39" s="159"/>
      <c r="B39" s="734"/>
      <c r="C39" s="718" t="s">
        <v>532</v>
      </c>
      <c r="D39" s="780">
        <v>0</v>
      </c>
      <c r="E39" s="783">
        <v>0</v>
      </c>
      <c r="F39" s="783">
        <v>0</v>
      </c>
      <c r="G39" s="783">
        <v>1</v>
      </c>
      <c r="H39" s="783"/>
      <c r="I39" s="783"/>
      <c r="J39" s="783"/>
      <c r="K39" s="783"/>
      <c r="L39" s="783">
        <v>0.25</v>
      </c>
      <c r="M39" s="783">
        <v>0.75</v>
      </c>
      <c r="N39" s="783">
        <v>0</v>
      </c>
      <c r="O39" s="783"/>
      <c r="P39" s="783">
        <v>1</v>
      </c>
      <c r="Q39" s="783">
        <v>0</v>
      </c>
      <c r="R39" s="783">
        <f>AH40/AG40</f>
        <v>0</v>
      </c>
      <c r="S39" s="783">
        <f>1-R39</f>
        <v>1</v>
      </c>
      <c r="T39" s="783">
        <f>$R39</f>
        <v>0</v>
      </c>
      <c r="U39" s="783">
        <f>$S39</f>
        <v>1</v>
      </c>
      <c r="V39" s="783">
        <v>1</v>
      </c>
      <c r="W39" s="783">
        <f>AI40/AG40</f>
        <v>0</v>
      </c>
      <c r="X39" s="783">
        <v>0</v>
      </c>
      <c r="Y39" s="783">
        <f>W39</f>
        <v>0</v>
      </c>
      <c r="Z39" s="783">
        <f>AJ40/AG40</f>
        <v>0</v>
      </c>
      <c r="AA39" s="783">
        <f>$Z39</f>
        <v>0</v>
      </c>
      <c r="AB39" s="783">
        <f>$AA39</f>
        <v>0</v>
      </c>
      <c r="AC39" s="783">
        <f>$AA39</f>
        <v>0</v>
      </c>
      <c r="AD39" s="828"/>
      <c r="AE39" s="992"/>
      <c r="AF39" s="993"/>
      <c r="AG39" s="913"/>
      <c r="AH39" s="906"/>
      <c r="AI39" s="781"/>
      <c r="AJ39" s="782"/>
      <c r="AL39" s="232"/>
      <c r="AM39" s="233"/>
      <c r="AZ39" s="227"/>
    </row>
    <row r="40" spans="1:52" x14ac:dyDescent="0.3">
      <c r="A40" s="159"/>
      <c r="B40" s="734"/>
      <c r="C40" s="718" t="s">
        <v>600</v>
      </c>
      <c r="D40" s="784">
        <f>D38*D39</f>
        <v>0</v>
      </c>
      <c r="E40" s="785">
        <f t="shared" ref="E40:G40" si="38">E38*E39</f>
        <v>0</v>
      </c>
      <c r="F40" s="785">
        <f t="shared" si="38"/>
        <v>0</v>
      </c>
      <c r="G40" s="785">
        <f t="shared" si="38"/>
        <v>8</v>
      </c>
      <c r="H40" s="785"/>
      <c r="I40" s="785"/>
      <c r="J40" s="785"/>
      <c r="K40" s="785"/>
      <c r="L40" s="785">
        <f t="shared" ref="L40:N40" si="39">L38*L39</f>
        <v>0.25</v>
      </c>
      <c r="M40" s="785">
        <f t="shared" si="39"/>
        <v>3</v>
      </c>
      <c r="N40" s="785">
        <f t="shared" si="39"/>
        <v>0</v>
      </c>
      <c r="O40" s="785"/>
      <c r="P40" s="785">
        <f t="shared" ref="P40:AC40" si="40">P38*P39</f>
        <v>1</v>
      </c>
      <c r="Q40" s="785">
        <f t="shared" si="40"/>
        <v>0</v>
      </c>
      <c r="R40" s="785">
        <f t="shared" si="40"/>
        <v>0</v>
      </c>
      <c r="S40" s="785">
        <f t="shared" si="40"/>
        <v>8</v>
      </c>
      <c r="T40" s="785">
        <f t="shared" si="40"/>
        <v>0</v>
      </c>
      <c r="U40" s="785">
        <f t="shared" si="40"/>
        <v>8</v>
      </c>
      <c r="V40" s="785">
        <f t="shared" si="40"/>
        <v>1</v>
      </c>
      <c r="W40" s="785">
        <f t="shared" si="40"/>
        <v>0</v>
      </c>
      <c r="X40" s="785">
        <f t="shared" si="40"/>
        <v>0</v>
      </c>
      <c r="Y40" s="785">
        <f t="shared" si="40"/>
        <v>0</v>
      </c>
      <c r="Z40" s="785">
        <f t="shared" si="40"/>
        <v>0</v>
      </c>
      <c r="AA40" s="785">
        <f t="shared" si="40"/>
        <v>0</v>
      </c>
      <c r="AB40" s="785">
        <f t="shared" si="40"/>
        <v>0</v>
      </c>
      <c r="AC40" s="785">
        <f t="shared" si="40"/>
        <v>0</v>
      </c>
      <c r="AD40" s="829">
        <f>SUM(D40:AC40)</f>
        <v>29.25</v>
      </c>
      <c r="AE40" s="992">
        <v>36</v>
      </c>
      <c r="AF40" s="993">
        <v>0</v>
      </c>
      <c r="AG40" s="913">
        <f>SUM(AE40:AF40)</f>
        <v>36</v>
      </c>
      <c r="AH40" s="906">
        <v>0</v>
      </c>
      <c r="AI40" s="781">
        <v>0</v>
      </c>
      <c r="AJ40" s="782">
        <v>0</v>
      </c>
      <c r="AL40" s="232"/>
      <c r="AM40" s="233"/>
      <c r="AZ40" s="227"/>
    </row>
    <row r="41" spans="1:52" ht="42.6" customHeight="1" x14ac:dyDescent="0.3">
      <c r="A41" s="159">
        <f ca="1">OFFSET(A41,-3,0)+1</f>
        <v>12</v>
      </c>
      <c r="B41" s="736" t="str">
        <f ca="1">"Meranie č. "&amp;A41</f>
        <v>Meranie č. 12</v>
      </c>
      <c r="C41" s="1014" t="s">
        <v>768</v>
      </c>
      <c r="D41" s="779">
        <v>0</v>
      </c>
      <c r="E41" s="737">
        <v>0</v>
      </c>
      <c r="F41" s="737">
        <v>0</v>
      </c>
      <c r="G41" s="737">
        <v>8</v>
      </c>
      <c r="H41" s="737" t="s">
        <v>568</v>
      </c>
      <c r="I41" s="737" t="s">
        <v>568</v>
      </c>
      <c r="J41" s="737" t="s">
        <v>568</v>
      </c>
      <c r="K41" s="737" t="s">
        <v>568</v>
      </c>
      <c r="L41" s="737">
        <v>1</v>
      </c>
      <c r="M41" s="737">
        <v>4</v>
      </c>
      <c r="N41" s="737">
        <v>0</v>
      </c>
      <c r="O41" s="737" t="s">
        <v>572</v>
      </c>
      <c r="P41" s="737">
        <v>1</v>
      </c>
      <c r="Q41" s="737">
        <v>0</v>
      </c>
      <c r="R41" s="737">
        <v>26</v>
      </c>
      <c r="S41" s="737">
        <v>8</v>
      </c>
      <c r="T41" s="737">
        <v>8</v>
      </c>
      <c r="U41" s="737">
        <v>8</v>
      </c>
      <c r="V41" s="737">
        <v>1</v>
      </c>
      <c r="W41" s="737">
        <v>2</v>
      </c>
      <c r="X41" s="737">
        <v>0</v>
      </c>
      <c r="Y41" s="737">
        <v>10</v>
      </c>
      <c r="Z41" s="737">
        <v>1</v>
      </c>
      <c r="AA41" s="737">
        <v>2</v>
      </c>
      <c r="AB41" s="737">
        <v>8</v>
      </c>
      <c r="AC41" s="737">
        <v>35</v>
      </c>
      <c r="AD41" s="827">
        <f>SUM(D41:AC41)</f>
        <v>123</v>
      </c>
      <c r="AE41" s="996"/>
      <c r="AF41" s="997"/>
      <c r="AG41" s="998"/>
      <c r="AH41" s="999"/>
      <c r="AI41" s="1000"/>
      <c r="AJ41" s="769"/>
      <c r="AL41" s="232"/>
      <c r="AZ41" s="227"/>
    </row>
    <row r="42" spans="1:52" x14ac:dyDescent="0.3">
      <c r="A42" s="159"/>
      <c r="B42" s="734"/>
      <c r="C42" s="718" t="s">
        <v>532</v>
      </c>
      <c r="D42" s="780">
        <v>0</v>
      </c>
      <c r="E42" s="783">
        <v>0</v>
      </c>
      <c r="F42" s="783">
        <v>0</v>
      </c>
      <c r="G42" s="783">
        <v>1</v>
      </c>
      <c r="H42" s="783"/>
      <c r="I42" s="783"/>
      <c r="J42" s="783"/>
      <c r="K42" s="783"/>
      <c r="L42" s="783">
        <v>0.25</v>
      </c>
      <c r="M42" s="783">
        <v>0.75</v>
      </c>
      <c r="N42" s="783">
        <v>0</v>
      </c>
      <c r="O42" s="783"/>
      <c r="P42" s="783">
        <v>1</v>
      </c>
      <c r="Q42" s="783">
        <v>0</v>
      </c>
      <c r="R42" s="783">
        <f>AH40/AG40</f>
        <v>0</v>
      </c>
      <c r="S42" s="783">
        <f>1-R42</f>
        <v>1</v>
      </c>
      <c r="T42" s="783">
        <f>$R42</f>
        <v>0</v>
      </c>
      <c r="U42" s="783">
        <f>$S42</f>
        <v>1</v>
      </c>
      <c r="V42" s="783">
        <v>1</v>
      </c>
      <c r="W42" s="783">
        <f>AI40/AG40</f>
        <v>0</v>
      </c>
      <c r="X42" s="783">
        <v>0</v>
      </c>
      <c r="Y42" s="783">
        <f>W42</f>
        <v>0</v>
      </c>
      <c r="Z42" s="783">
        <f>AJ40/AG40</f>
        <v>0</v>
      </c>
      <c r="AA42" s="783">
        <f>$Z42</f>
        <v>0</v>
      </c>
      <c r="AB42" s="783">
        <f>$AA42</f>
        <v>0</v>
      </c>
      <c r="AC42" s="783">
        <f>$AA42</f>
        <v>0</v>
      </c>
      <c r="AD42" s="828"/>
      <c r="AE42" s="992"/>
      <c r="AF42" s="993"/>
      <c r="AG42" s="913"/>
      <c r="AH42" s="906"/>
      <c r="AI42" s="781"/>
      <c r="AJ42" s="782"/>
      <c r="AL42" s="232"/>
      <c r="AM42" s="233"/>
      <c r="AZ42" s="227"/>
    </row>
    <row r="43" spans="1:52" x14ac:dyDescent="0.3">
      <c r="A43" s="159"/>
      <c r="B43" s="231"/>
      <c r="C43" s="718" t="s">
        <v>600</v>
      </c>
      <c r="D43" s="784">
        <f>D41*D42</f>
        <v>0</v>
      </c>
      <c r="E43" s="785">
        <f t="shared" ref="E43:G43" si="41">E41*E42</f>
        <v>0</v>
      </c>
      <c r="F43" s="785">
        <f t="shared" si="41"/>
        <v>0</v>
      </c>
      <c r="G43" s="785">
        <f t="shared" si="41"/>
        <v>8</v>
      </c>
      <c r="H43" s="785"/>
      <c r="I43" s="785"/>
      <c r="J43" s="785"/>
      <c r="K43" s="785"/>
      <c r="L43" s="785">
        <f t="shared" ref="L43:N43" si="42">L41*L42</f>
        <v>0.25</v>
      </c>
      <c r="M43" s="785">
        <f t="shared" si="42"/>
        <v>3</v>
      </c>
      <c r="N43" s="785">
        <f t="shared" si="42"/>
        <v>0</v>
      </c>
      <c r="O43" s="785"/>
      <c r="P43" s="785">
        <f t="shared" ref="P43:AC43" si="43">P41*P42</f>
        <v>1</v>
      </c>
      <c r="Q43" s="785">
        <f t="shared" si="43"/>
        <v>0</v>
      </c>
      <c r="R43" s="785">
        <f t="shared" si="43"/>
        <v>0</v>
      </c>
      <c r="S43" s="785">
        <f t="shared" si="43"/>
        <v>8</v>
      </c>
      <c r="T43" s="785">
        <f t="shared" si="43"/>
        <v>0</v>
      </c>
      <c r="U43" s="785">
        <f t="shared" si="43"/>
        <v>8</v>
      </c>
      <c r="V43" s="785">
        <f t="shared" si="43"/>
        <v>1</v>
      </c>
      <c r="W43" s="785">
        <f t="shared" si="43"/>
        <v>0</v>
      </c>
      <c r="X43" s="785">
        <f t="shared" si="43"/>
        <v>0</v>
      </c>
      <c r="Y43" s="785">
        <f t="shared" si="43"/>
        <v>0</v>
      </c>
      <c r="Z43" s="785">
        <f t="shared" si="43"/>
        <v>0</v>
      </c>
      <c r="AA43" s="785">
        <f t="shared" si="43"/>
        <v>0</v>
      </c>
      <c r="AB43" s="785">
        <f t="shared" si="43"/>
        <v>0</v>
      </c>
      <c r="AC43" s="785">
        <f t="shared" si="43"/>
        <v>0</v>
      </c>
      <c r="AD43" s="829">
        <f>SUM(D43:AC43)</f>
        <v>29.25</v>
      </c>
      <c r="AE43" s="994"/>
      <c r="AF43" s="995"/>
      <c r="AG43" s="914"/>
      <c r="AH43" s="907"/>
      <c r="AI43" s="786"/>
      <c r="AJ43" s="787"/>
      <c r="AL43" s="232"/>
      <c r="AM43" s="233"/>
      <c r="AZ43" s="227"/>
    </row>
    <row r="44" spans="1:52" ht="56.4" customHeight="1" x14ac:dyDescent="0.3">
      <c r="A44" s="159">
        <f ca="1">OFFSET(A44,-3,0)+1</f>
        <v>13</v>
      </c>
      <c r="B44" s="736" t="str">
        <f ca="1">"Meranie č. "&amp;A44</f>
        <v>Meranie č. 13</v>
      </c>
      <c r="C44" s="1014" t="s">
        <v>615</v>
      </c>
      <c r="D44" s="779">
        <v>0</v>
      </c>
      <c r="E44" s="737">
        <v>0</v>
      </c>
      <c r="F44" s="737">
        <v>0</v>
      </c>
      <c r="G44" s="737">
        <v>16</v>
      </c>
      <c r="H44" s="737" t="s">
        <v>568</v>
      </c>
      <c r="I44" s="737" t="s">
        <v>568</v>
      </c>
      <c r="J44" s="737" t="s">
        <v>568</v>
      </c>
      <c r="K44" s="737" t="s">
        <v>568</v>
      </c>
      <c r="L44" s="737">
        <v>1</v>
      </c>
      <c r="M44" s="737">
        <v>8</v>
      </c>
      <c r="N44" s="737">
        <v>0</v>
      </c>
      <c r="O44" s="737" t="s">
        <v>572</v>
      </c>
      <c r="P44" s="737">
        <v>1</v>
      </c>
      <c r="Q44" s="737">
        <v>0</v>
      </c>
      <c r="R44" s="737">
        <v>16</v>
      </c>
      <c r="S44" s="737">
        <v>15</v>
      </c>
      <c r="T44" s="737">
        <v>8</v>
      </c>
      <c r="U44" s="737">
        <v>8</v>
      </c>
      <c r="V44" s="737">
        <v>0.5</v>
      </c>
      <c r="W44" s="737">
        <v>2</v>
      </c>
      <c r="X44" s="737">
        <v>0</v>
      </c>
      <c r="Y44" s="737">
        <v>16</v>
      </c>
      <c r="Z44" s="737">
        <v>2</v>
      </c>
      <c r="AA44" s="737">
        <v>4</v>
      </c>
      <c r="AB44" s="737">
        <v>16</v>
      </c>
      <c r="AC44" s="737">
        <v>40</v>
      </c>
      <c r="AD44" s="827">
        <f>SUM(D44:AC44)</f>
        <v>153.5</v>
      </c>
      <c r="AE44" s="990"/>
      <c r="AF44" s="991"/>
      <c r="AG44" s="912"/>
      <c r="AH44" s="904"/>
      <c r="AI44" s="738"/>
      <c r="AJ44" s="759"/>
      <c r="AL44" s="232"/>
      <c r="AZ44" s="227"/>
    </row>
    <row r="45" spans="1:52" x14ac:dyDescent="0.3">
      <c r="A45" s="159"/>
      <c r="B45" s="734"/>
      <c r="C45" s="718" t="s">
        <v>532</v>
      </c>
      <c r="D45" s="780">
        <v>0</v>
      </c>
      <c r="E45" s="783">
        <v>0</v>
      </c>
      <c r="F45" s="783">
        <v>0</v>
      </c>
      <c r="G45" s="783">
        <v>1</v>
      </c>
      <c r="H45" s="783"/>
      <c r="I45" s="783"/>
      <c r="J45" s="783"/>
      <c r="K45" s="783"/>
      <c r="L45" s="783">
        <v>0.25</v>
      </c>
      <c r="M45" s="783">
        <v>0.75</v>
      </c>
      <c r="N45" s="783">
        <v>0</v>
      </c>
      <c r="O45" s="783"/>
      <c r="P45" s="783">
        <v>1</v>
      </c>
      <c r="Q45" s="783">
        <v>0</v>
      </c>
      <c r="R45" s="783">
        <f>AH46/AG46</f>
        <v>0</v>
      </c>
      <c r="S45" s="783">
        <f>1-R45</f>
        <v>1</v>
      </c>
      <c r="T45" s="783">
        <f>$R45</f>
        <v>0</v>
      </c>
      <c r="U45" s="783">
        <f>$S45</f>
        <v>1</v>
      </c>
      <c r="V45" s="783">
        <v>1</v>
      </c>
      <c r="W45" s="783">
        <f>AI46/AG46</f>
        <v>0</v>
      </c>
      <c r="X45" s="783">
        <v>0</v>
      </c>
      <c r="Y45" s="783">
        <f>W45</f>
        <v>0</v>
      </c>
      <c r="Z45" s="783">
        <f>AJ46/AG46</f>
        <v>0</v>
      </c>
      <c r="AA45" s="783">
        <f>$Z45</f>
        <v>0</v>
      </c>
      <c r="AB45" s="783">
        <f>$AA45</f>
        <v>0</v>
      </c>
      <c r="AC45" s="783">
        <f>$AA45</f>
        <v>0</v>
      </c>
      <c r="AD45" s="828"/>
      <c r="AE45" s="992"/>
      <c r="AF45" s="993"/>
      <c r="AG45" s="913"/>
      <c r="AH45" s="906"/>
      <c r="AI45" s="781"/>
      <c r="AJ45" s="782"/>
      <c r="AL45" s="232"/>
      <c r="AM45" s="233"/>
      <c r="AZ45" s="227"/>
    </row>
    <row r="46" spans="1:52" x14ac:dyDescent="0.3">
      <c r="A46" s="159"/>
      <c r="B46" s="734"/>
      <c r="C46" s="739" t="s">
        <v>600</v>
      </c>
      <c r="D46" s="809">
        <f>D44*D45</f>
        <v>0</v>
      </c>
      <c r="E46" s="810">
        <f t="shared" ref="E46:G46" si="44">E44*E45</f>
        <v>0</v>
      </c>
      <c r="F46" s="810">
        <f t="shared" si="44"/>
        <v>0</v>
      </c>
      <c r="G46" s="810">
        <f t="shared" si="44"/>
        <v>16</v>
      </c>
      <c r="H46" s="810"/>
      <c r="I46" s="810"/>
      <c r="J46" s="810"/>
      <c r="K46" s="810"/>
      <c r="L46" s="810">
        <f t="shared" ref="L46:N46" si="45">L44*L45</f>
        <v>0.25</v>
      </c>
      <c r="M46" s="810">
        <f t="shared" si="45"/>
        <v>6</v>
      </c>
      <c r="N46" s="810">
        <f t="shared" si="45"/>
        <v>0</v>
      </c>
      <c r="O46" s="810"/>
      <c r="P46" s="810">
        <f t="shared" ref="P46:AC46" si="46">P44*P45</f>
        <v>1</v>
      </c>
      <c r="Q46" s="810">
        <f t="shared" si="46"/>
        <v>0</v>
      </c>
      <c r="R46" s="810">
        <f t="shared" si="46"/>
        <v>0</v>
      </c>
      <c r="S46" s="810">
        <f t="shared" si="46"/>
        <v>15</v>
      </c>
      <c r="T46" s="810">
        <f t="shared" si="46"/>
        <v>0</v>
      </c>
      <c r="U46" s="810">
        <f t="shared" si="46"/>
        <v>8</v>
      </c>
      <c r="V46" s="810">
        <f t="shared" si="46"/>
        <v>0.5</v>
      </c>
      <c r="W46" s="810">
        <f t="shared" si="46"/>
        <v>0</v>
      </c>
      <c r="X46" s="810">
        <f t="shared" si="46"/>
        <v>0</v>
      </c>
      <c r="Y46" s="810">
        <f t="shared" si="46"/>
        <v>0</v>
      </c>
      <c r="Z46" s="810">
        <f t="shared" si="46"/>
        <v>0</v>
      </c>
      <c r="AA46" s="810">
        <f t="shared" si="46"/>
        <v>0</v>
      </c>
      <c r="AB46" s="810">
        <f t="shared" si="46"/>
        <v>0</v>
      </c>
      <c r="AC46" s="810">
        <f t="shared" si="46"/>
        <v>0</v>
      </c>
      <c r="AD46" s="830">
        <f>SUM(D46:AC46)</f>
        <v>46.75</v>
      </c>
      <c r="AE46" s="992">
        <v>46</v>
      </c>
      <c r="AF46" s="993">
        <v>0</v>
      </c>
      <c r="AG46" s="913">
        <f>SUM(AE46:AF46)</f>
        <v>46</v>
      </c>
      <c r="AH46" s="906">
        <v>0</v>
      </c>
      <c r="AI46" s="781">
        <v>0</v>
      </c>
      <c r="AJ46" s="782">
        <v>0</v>
      </c>
      <c r="AL46" s="232"/>
      <c r="AM46" s="233"/>
      <c r="AZ46" s="227"/>
    </row>
    <row r="47" spans="1:52" ht="15" thickBot="1" x14ac:dyDescent="0.35">
      <c r="A47" s="159"/>
      <c r="B47" s="811"/>
      <c r="C47" s="812" t="s">
        <v>601</v>
      </c>
      <c r="D47" s="813"/>
      <c r="E47" s="813"/>
      <c r="F47" s="813"/>
      <c r="G47" s="814"/>
      <c r="H47" s="814"/>
      <c r="I47" s="814"/>
      <c r="J47" s="814"/>
      <c r="K47" s="814"/>
      <c r="L47" s="814"/>
      <c r="M47" s="814"/>
      <c r="N47" s="814"/>
      <c r="O47" s="814"/>
      <c r="P47" s="814"/>
      <c r="Q47" s="814"/>
      <c r="R47" s="814"/>
      <c r="S47" s="814"/>
      <c r="T47" s="814"/>
      <c r="U47" s="814"/>
      <c r="V47" s="814"/>
      <c r="W47" s="814"/>
      <c r="X47" s="814"/>
      <c r="Y47" s="814"/>
      <c r="Z47" s="814"/>
      <c r="AA47" s="814"/>
      <c r="AB47" s="814"/>
      <c r="AC47" s="814"/>
      <c r="AD47" s="831"/>
      <c r="AE47" s="835">
        <f>537-SUM(AE26:AE46)</f>
        <v>106</v>
      </c>
      <c r="AF47" s="1001">
        <v>0</v>
      </c>
      <c r="AG47" s="1002">
        <f>SUM(AE47:AF47)</f>
        <v>106</v>
      </c>
      <c r="AH47" s="1003">
        <f>-ROUND(AG47/SUM(AG$26:AG$31,AG$47)*SUM(-104,AH$35:AH$46),0)</f>
        <v>37</v>
      </c>
      <c r="AI47" s="1004">
        <f>-ROUND(AH47/SUM(AH$26:AH$31,AH$47)*SUM(-93,AI$35:AI$46),0)</f>
        <v>33</v>
      </c>
      <c r="AJ47" s="1005">
        <f>-ROUND(AI47/SUM(AI$26:AI$31,AI$47)*SUM(-19,AJ$35:AJ$46),0)</f>
        <v>6</v>
      </c>
    </row>
    <row r="48" spans="1:52" x14ac:dyDescent="0.3">
      <c r="A48" s="159"/>
      <c r="B48" s="725" t="s">
        <v>546</v>
      </c>
      <c r="C48" s="726" t="s">
        <v>534</v>
      </c>
      <c r="D48" s="730">
        <f t="shared" ref="D48:F48" si="47">D51*$AG51/2/($AG48-$AG70)+D54*$AG51/2/($AG48-$AG70)+D57*$AG57/($AG48-$AG70)+D60*$AG60/($AG48-$AG70)+D63*$AG63/2/($AG48-$AG70)+D66*$AG63/2/($AG48-$AG70)+D69*$AG69/($AG48-$AG70)</f>
        <v>0</v>
      </c>
      <c r="E48" s="730">
        <f t="shared" si="47"/>
        <v>0</v>
      </c>
      <c r="F48" s="730">
        <f t="shared" si="47"/>
        <v>0</v>
      </c>
      <c r="G48" s="729">
        <f>G51*$AG51/2/($AG48-$AG70)+G54*$AG51/2/($AG48-$AG70)+G57*$AG57/($AG48-$AG70)+G60*$AG60/($AG48-$AG70)+G63*$AG63/2/($AG48-$AG70)+G66*$AG63/2/($AG48-$AG70)+G69*$AG69/($AG48-$AG70)</f>
        <v>9.9067599067599055</v>
      </c>
      <c r="H48" s="799"/>
      <c r="I48" s="799"/>
      <c r="J48" s="799"/>
      <c r="K48" s="799"/>
      <c r="L48" s="733">
        <f t="shared" ref="L48:N48" si="48">L51*$AG51/2/($AG48-$AG70)+L54*$AG51/2/($AG48-$AG70)+L57*$AG57/($AG48-$AG70)+L60*$AG60/($AG48-$AG70)+L63*$AG63/2/($AG48-$AG70)+L66*$AG63/2/($AG48-$AG70)+L69*$AG69/($AG48-$AG70)</f>
        <v>0.25058275058275059</v>
      </c>
      <c r="M48" s="730">
        <f t="shared" si="48"/>
        <v>2.2368881118881117</v>
      </c>
      <c r="N48" s="730">
        <f t="shared" si="48"/>
        <v>0</v>
      </c>
      <c r="O48" s="730"/>
      <c r="P48" s="730">
        <f t="shared" ref="P48:AC48" si="49">P51*$AG51/2/($AG48-$AG70)+P54*$AG51/2/($AG48-$AG70)+P57*$AG57/($AG48-$AG70)+P60*$AG60/($AG48-$AG70)+P63*$AG63/2/($AG48-$AG70)+P66*$AG63/2/($AG48-$AG70)+P69*$AG69/($AG48-$AG70)</f>
        <v>10.799533799533799</v>
      </c>
      <c r="Q48" s="730">
        <f t="shared" si="49"/>
        <v>0</v>
      </c>
      <c r="R48" s="730">
        <f t="shared" si="49"/>
        <v>12.159424390638264</v>
      </c>
      <c r="S48" s="730">
        <f t="shared" si="49"/>
        <v>23.71697858981096</v>
      </c>
      <c r="T48" s="730">
        <f t="shared" si="49"/>
        <v>5.6572483393292643</v>
      </c>
      <c r="U48" s="730">
        <f t="shared" si="49"/>
        <v>3.6234285945268607</v>
      </c>
      <c r="V48" s="730">
        <f t="shared" si="49"/>
        <v>0.55011655011655014</v>
      </c>
      <c r="W48" s="730">
        <f t="shared" si="49"/>
        <v>0.19463869463869465</v>
      </c>
      <c r="X48" s="730">
        <f t="shared" si="49"/>
        <v>0</v>
      </c>
      <c r="Y48" s="730">
        <f t="shared" si="49"/>
        <v>2.4988344988344986</v>
      </c>
      <c r="Z48" s="730">
        <f t="shared" si="49"/>
        <v>1.5734265734265736E-2</v>
      </c>
      <c r="AA48" s="730">
        <f t="shared" si="49"/>
        <v>3.2634032634032639E-2</v>
      </c>
      <c r="AB48" s="730">
        <f t="shared" si="49"/>
        <v>0.33566433566433573</v>
      </c>
      <c r="AC48" s="730">
        <f t="shared" si="49"/>
        <v>0.83916083916083906</v>
      </c>
      <c r="AD48" s="832">
        <f>SUM(D48:AC48)</f>
        <v>72.817627699853134</v>
      </c>
      <c r="AE48" s="1006">
        <f t="shared" ref="AE48:AJ48" si="50">SUM(AE49:AE70)</f>
        <v>385</v>
      </c>
      <c r="AF48" s="1007">
        <f t="shared" si="50"/>
        <v>173</v>
      </c>
      <c r="AG48" s="915">
        <f t="shared" si="50"/>
        <v>558</v>
      </c>
      <c r="AH48" s="908">
        <f t="shared" si="50"/>
        <v>147</v>
      </c>
      <c r="AI48" s="732">
        <f t="shared" si="50"/>
        <v>89</v>
      </c>
      <c r="AJ48" s="758">
        <f t="shared" si="50"/>
        <v>12</v>
      </c>
      <c r="AL48" s="232"/>
      <c r="AM48"/>
      <c r="AZ48" s="227"/>
    </row>
    <row r="49" spans="1:52" ht="42.6" customHeight="1" x14ac:dyDescent="0.3">
      <c r="A49" s="159">
        <f ca="1">OFFSET(A49,-5,0)+1</f>
        <v>14</v>
      </c>
      <c r="B49" s="736" t="str">
        <f ca="1">"Meranie č. "&amp;A49</f>
        <v>Meranie č. 14</v>
      </c>
      <c r="C49" s="1014" t="s">
        <v>616</v>
      </c>
      <c r="D49" s="779">
        <v>0</v>
      </c>
      <c r="E49" s="737">
        <v>0.5</v>
      </c>
      <c r="F49" s="737">
        <v>0</v>
      </c>
      <c r="G49" s="737">
        <v>3</v>
      </c>
      <c r="H49" s="737" t="s">
        <v>568</v>
      </c>
      <c r="I49" s="737" t="s">
        <v>568</v>
      </c>
      <c r="J49" s="737" t="s">
        <v>568</v>
      </c>
      <c r="K49" s="737" t="s">
        <v>568</v>
      </c>
      <c r="L49" s="737">
        <v>2</v>
      </c>
      <c r="M49" s="737">
        <v>4</v>
      </c>
      <c r="N49" s="737">
        <v>0</v>
      </c>
      <c r="O49" s="737" t="s">
        <v>572</v>
      </c>
      <c r="P49" s="737">
        <v>8</v>
      </c>
      <c r="Q49" s="737">
        <v>0</v>
      </c>
      <c r="R49" s="737">
        <v>24</v>
      </c>
      <c r="S49" s="737">
        <v>24</v>
      </c>
      <c r="T49" s="737">
        <v>16</v>
      </c>
      <c r="U49" s="737">
        <v>1</v>
      </c>
      <c r="V49" s="737">
        <v>0.5</v>
      </c>
      <c r="W49" s="737">
        <v>1.5</v>
      </c>
      <c r="X49" s="737">
        <v>0</v>
      </c>
      <c r="Y49" s="737">
        <v>16</v>
      </c>
      <c r="Z49" s="737">
        <v>1</v>
      </c>
      <c r="AA49" s="737">
        <v>2</v>
      </c>
      <c r="AB49" s="737">
        <v>16</v>
      </c>
      <c r="AC49" s="737">
        <v>40</v>
      </c>
      <c r="AD49" s="827">
        <f>SUM(D49:AC49)</f>
        <v>159.5</v>
      </c>
      <c r="AE49" s="990"/>
      <c r="AF49" s="991"/>
      <c r="AG49" s="912"/>
      <c r="AH49" s="904"/>
      <c r="AI49" s="738"/>
      <c r="AJ49" s="759"/>
      <c r="AL49" s="232"/>
      <c r="AZ49" s="227"/>
    </row>
    <row r="50" spans="1:52" x14ac:dyDescent="0.3">
      <c r="A50" s="159"/>
      <c r="B50" s="734"/>
      <c r="C50" s="718" t="s">
        <v>532</v>
      </c>
      <c r="D50" s="780">
        <v>0</v>
      </c>
      <c r="E50" s="783">
        <v>0</v>
      </c>
      <c r="F50" s="783">
        <v>0</v>
      </c>
      <c r="G50" s="783">
        <v>1</v>
      </c>
      <c r="H50" s="783"/>
      <c r="I50" s="783"/>
      <c r="J50" s="783"/>
      <c r="K50" s="783"/>
      <c r="L50" s="783">
        <v>0.25</v>
      </c>
      <c r="M50" s="783">
        <v>0.75</v>
      </c>
      <c r="N50" s="783">
        <v>0</v>
      </c>
      <c r="O50" s="783"/>
      <c r="P50" s="783">
        <v>1</v>
      </c>
      <c r="Q50" s="783">
        <v>0</v>
      </c>
      <c r="R50" s="783">
        <f>AH51/AG51</f>
        <v>0.31046276977802101</v>
      </c>
      <c r="S50" s="783">
        <f>1-R50</f>
        <v>0.68953723022197899</v>
      </c>
      <c r="T50" s="783">
        <f>$R50</f>
        <v>0.31046276977802101</v>
      </c>
      <c r="U50" s="783">
        <f>$S50</f>
        <v>0.68953723022197899</v>
      </c>
      <c r="V50" s="783">
        <v>1</v>
      </c>
      <c r="W50" s="783">
        <f>AI51/AG51</f>
        <v>0.1893491124260355</v>
      </c>
      <c r="X50" s="783">
        <v>0</v>
      </c>
      <c r="Y50" s="783">
        <f>W50</f>
        <v>0.1893491124260355</v>
      </c>
      <c r="Z50" s="783">
        <f>AJ51/AG51</f>
        <v>2.9585798816568046E-2</v>
      </c>
      <c r="AA50" s="783">
        <f>$Z50</f>
        <v>2.9585798816568046E-2</v>
      </c>
      <c r="AB50" s="783">
        <f>$AA50</f>
        <v>2.9585798816568046E-2</v>
      </c>
      <c r="AC50" s="783">
        <f>$AA50</f>
        <v>2.9585798816568046E-2</v>
      </c>
      <c r="AD50" s="828"/>
      <c r="AE50" s="992"/>
      <c r="AF50" s="993"/>
      <c r="AG50" s="913"/>
      <c r="AH50" s="906"/>
      <c r="AI50" s="781"/>
      <c r="AJ50" s="782"/>
      <c r="AL50" s="232"/>
      <c r="AM50" s="233"/>
      <c r="AZ50" s="227"/>
    </row>
    <row r="51" spans="1:52" x14ac:dyDescent="0.3">
      <c r="A51" s="159"/>
      <c r="B51" s="231"/>
      <c r="C51" s="718" t="s">
        <v>600</v>
      </c>
      <c r="D51" s="784">
        <f>D49*D50</f>
        <v>0</v>
      </c>
      <c r="E51" s="785">
        <f t="shared" ref="E51:G51" si="51">E49*E50</f>
        <v>0</v>
      </c>
      <c r="F51" s="785">
        <f t="shared" si="51"/>
        <v>0</v>
      </c>
      <c r="G51" s="785">
        <f t="shared" si="51"/>
        <v>3</v>
      </c>
      <c r="H51" s="785"/>
      <c r="I51" s="785"/>
      <c r="J51" s="785"/>
      <c r="K51" s="785"/>
      <c r="L51" s="785">
        <f t="shared" ref="L51:N51" si="52">L49*L50</f>
        <v>0.5</v>
      </c>
      <c r="M51" s="785">
        <f t="shared" si="52"/>
        <v>3</v>
      </c>
      <c r="N51" s="785">
        <f t="shared" si="52"/>
        <v>0</v>
      </c>
      <c r="O51" s="785"/>
      <c r="P51" s="785">
        <f t="shared" ref="P51:AC51" si="53">P49*P50</f>
        <v>8</v>
      </c>
      <c r="Q51" s="785">
        <f t="shared" si="53"/>
        <v>0</v>
      </c>
      <c r="R51" s="785">
        <f t="shared" si="53"/>
        <v>7.4511064746725042</v>
      </c>
      <c r="S51" s="785">
        <f t="shared" si="53"/>
        <v>16.548893525327497</v>
      </c>
      <c r="T51" s="785">
        <f t="shared" si="53"/>
        <v>4.9674043164483361</v>
      </c>
      <c r="U51" s="785">
        <f t="shared" si="53"/>
        <v>0.68953723022197899</v>
      </c>
      <c r="V51" s="785">
        <f t="shared" si="53"/>
        <v>0.5</v>
      </c>
      <c r="W51" s="785">
        <f t="shared" si="53"/>
        <v>0.28402366863905326</v>
      </c>
      <c r="X51" s="785">
        <f t="shared" si="53"/>
        <v>0</v>
      </c>
      <c r="Y51" s="785">
        <f t="shared" si="53"/>
        <v>3.029585798816568</v>
      </c>
      <c r="Z51" s="785">
        <f t="shared" si="53"/>
        <v>2.9585798816568046E-2</v>
      </c>
      <c r="AA51" s="785">
        <f t="shared" si="53"/>
        <v>5.9171597633136092E-2</v>
      </c>
      <c r="AB51" s="785">
        <f t="shared" si="53"/>
        <v>0.47337278106508873</v>
      </c>
      <c r="AC51" s="785">
        <f t="shared" si="53"/>
        <v>1.1834319526627217</v>
      </c>
      <c r="AD51" s="829">
        <f>SUM(D51:AC51)</f>
        <v>49.716113144303456</v>
      </c>
      <c r="AE51" s="992">
        <v>103</v>
      </c>
      <c r="AF51" s="993">
        <f>ROUND(169*AE51/SUM(AE$49:AE$69),0)-1</f>
        <v>66</v>
      </c>
      <c r="AG51" s="913">
        <f>SUM(AE51:AF51)</f>
        <v>169</v>
      </c>
      <c r="AH51" s="906">
        <f>25+(147-75)*AF51/AF$48</f>
        <v>52.468208092485554</v>
      </c>
      <c r="AI51" s="781">
        <f>ROUND(89*AH51/AH$48,0)</f>
        <v>32</v>
      </c>
      <c r="AJ51" s="782">
        <f>ROUND(12*AI51/AI$48,0)+1</f>
        <v>5</v>
      </c>
      <c r="AL51" s="232"/>
      <c r="AM51" s="233"/>
      <c r="AZ51" s="227"/>
    </row>
    <row r="52" spans="1:52" ht="55.95" customHeight="1" x14ac:dyDescent="0.3">
      <c r="A52" s="159">
        <f ca="1">OFFSET(A52,-3,0)+1</f>
        <v>15</v>
      </c>
      <c r="B52" s="736" t="str">
        <f ca="1">"Meranie č. "&amp;A52</f>
        <v>Meranie č. 15</v>
      </c>
      <c r="C52" s="1014" t="s">
        <v>769</v>
      </c>
      <c r="D52" s="779">
        <v>0</v>
      </c>
      <c r="E52" s="737">
        <v>0.5</v>
      </c>
      <c r="F52" s="737">
        <v>0</v>
      </c>
      <c r="G52" s="737">
        <v>3</v>
      </c>
      <c r="H52" s="737" t="s">
        <v>568</v>
      </c>
      <c r="I52" s="737" t="s">
        <v>568</v>
      </c>
      <c r="J52" s="737" t="s">
        <v>568</v>
      </c>
      <c r="K52" s="737" t="s">
        <v>568</v>
      </c>
      <c r="L52" s="737">
        <v>0</v>
      </c>
      <c r="M52" s="737">
        <v>1</v>
      </c>
      <c r="N52" s="737">
        <v>0</v>
      </c>
      <c r="O52" s="737" t="s">
        <v>572</v>
      </c>
      <c r="P52" s="737">
        <v>2</v>
      </c>
      <c r="Q52" s="737">
        <v>0</v>
      </c>
      <c r="R52" s="737">
        <v>16</v>
      </c>
      <c r="S52" s="737">
        <v>16</v>
      </c>
      <c r="T52" s="737">
        <v>16</v>
      </c>
      <c r="U52" s="737">
        <v>1</v>
      </c>
      <c r="V52" s="737">
        <v>0.5</v>
      </c>
      <c r="W52" s="737">
        <v>1.5</v>
      </c>
      <c r="X52" s="737">
        <v>0</v>
      </c>
      <c r="Y52" s="737">
        <v>16</v>
      </c>
      <c r="Z52" s="737">
        <v>0.5</v>
      </c>
      <c r="AA52" s="737">
        <v>1</v>
      </c>
      <c r="AB52" s="737">
        <v>16</v>
      </c>
      <c r="AC52" s="737">
        <v>40</v>
      </c>
      <c r="AD52" s="827">
        <f>SUM(D52:AC52)</f>
        <v>131</v>
      </c>
      <c r="AE52" s="996"/>
      <c r="AF52" s="997"/>
      <c r="AG52" s="998"/>
      <c r="AH52" s="999"/>
      <c r="AI52" s="1000"/>
      <c r="AJ52" s="769"/>
      <c r="AL52" s="232"/>
      <c r="AZ52" s="227"/>
    </row>
    <row r="53" spans="1:52" x14ac:dyDescent="0.3">
      <c r="A53" s="159"/>
      <c r="B53" s="734"/>
      <c r="C53" s="718" t="s">
        <v>532</v>
      </c>
      <c r="D53" s="780">
        <v>0</v>
      </c>
      <c r="E53" s="783">
        <v>0</v>
      </c>
      <c r="F53" s="783">
        <v>0</v>
      </c>
      <c r="G53" s="783">
        <v>1</v>
      </c>
      <c r="H53" s="783"/>
      <c r="I53" s="783"/>
      <c r="J53" s="783"/>
      <c r="K53" s="783"/>
      <c r="L53" s="783">
        <v>0.25</v>
      </c>
      <c r="M53" s="783">
        <v>0.75</v>
      </c>
      <c r="N53" s="783">
        <v>0</v>
      </c>
      <c r="O53" s="783"/>
      <c r="P53" s="783">
        <v>1</v>
      </c>
      <c r="Q53" s="783">
        <v>0</v>
      </c>
      <c r="R53" s="783">
        <f>AH51/AG51</f>
        <v>0.31046276977802101</v>
      </c>
      <c r="S53" s="783">
        <f>1-R53</f>
        <v>0.68953723022197899</v>
      </c>
      <c r="T53" s="783">
        <f>$R53</f>
        <v>0.31046276977802101</v>
      </c>
      <c r="U53" s="783">
        <f>$S53</f>
        <v>0.68953723022197899</v>
      </c>
      <c r="V53" s="783">
        <v>1</v>
      </c>
      <c r="W53" s="783">
        <f>AI51/AG51</f>
        <v>0.1893491124260355</v>
      </c>
      <c r="X53" s="783">
        <v>0</v>
      </c>
      <c r="Y53" s="783">
        <f>W53</f>
        <v>0.1893491124260355</v>
      </c>
      <c r="Z53" s="783">
        <f>AJ51/AG51</f>
        <v>2.9585798816568046E-2</v>
      </c>
      <c r="AA53" s="783">
        <f>$Z53</f>
        <v>2.9585798816568046E-2</v>
      </c>
      <c r="AB53" s="783">
        <f>$AA53</f>
        <v>2.9585798816568046E-2</v>
      </c>
      <c r="AC53" s="783">
        <f>$AA53</f>
        <v>2.9585798816568046E-2</v>
      </c>
      <c r="AD53" s="828"/>
      <c r="AE53" s="992"/>
      <c r="AF53" s="993"/>
      <c r="AG53" s="913"/>
      <c r="AH53" s="906"/>
      <c r="AI53" s="781"/>
      <c r="AJ53" s="782"/>
      <c r="AL53" s="232"/>
      <c r="AM53" s="233"/>
      <c r="AZ53" s="227"/>
    </row>
    <row r="54" spans="1:52" x14ac:dyDescent="0.3">
      <c r="A54" s="159"/>
      <c r="B54" s="231"/>
      <c r="C54" s="718" t="s">
        <v>600</v>
      </c>
      <c r="D54" s="784">
        <f>D52*D53</f>
        <v>0</v>
      </c>
      <c r="E54" s="785">
        <f t="shared" ref="E54:G54" si="54">E52*E53</f>
        <v>0</v>
      </c>
      <c r="F54" s="785">
        <f t="shared" si="54"/>
        <v>0</v>
      </c>
      <c r="G54" s="785">
        <f t="shared" si="54"/>
        <v>3</v>
      </c>
      <c r="H54" s="785"/>
      <c r="I54" s="785"/>
      <c r="J54" s="785"/>
      <c r="K54" s="785"/>
      <c r="L54" s="785">
        <f t="shared" ref="L54:N54" si="55">L52*L53</f>
        <v>0</v>
      </c>
      <c r="M54" s="785">
        <f t="shared" si="55"/>
        <v>0.75</v>
      </c>
      <c r="N54" s="785">
        <f t="shared" si="55"/>
        <v>0</v>
      </c>
      <c r="O54" s="785"/>
      <c r="P54" s="785">
        <f t="shared" ref="P54:AC54" si="56">P52*P53</f>
        <v>2</v>
      </c>
      <c r="Q54" s="785">
        <f t="shared" si="56"/>
        <v>0</v>
      </c>
      <c r="R54" s="785">
        <f t="shared" si="56"/>
        <v>4.9674043164483361</v>
      </c>
      <c r="S54" s="785">
        <f t="shared" si="56"/>
        <v>11.032595683551664</v>
      </c>
      <c r="T54" s="785">
        <f t="shared" si="56"/>
        <v>4.9674043164483361</v>
      </c>
      <c r="U54" s="785">
        <f t="shared" si="56"/>
        <v>0.68953723022197899</v>
      </c>
      <c r="V54" s="785">
        <f t="shared" si="56"/>
        <v>0.5</v>
      </c>
      <c r="W54" s="785">
        <f t="shared" si="56"/>
        <v>0.28402366863905326</v>
      </c>
      <c r="X54" s="785">
        <f t="shared" si="56"/>
        <v>0</v>
      </c>
      <c r="Y54" s="785">
        <f t="shared" si="56"/>
        <v>3.029585798816568</v>
      </c>
      <c r="Z54" s="785">
        <f t="shared" si="56"/>
        <v>1.4792899408284023E-2</v>
      </c>
      <c r="AA54" s="785">
        <f t="shared" si="56"/>
        <v>2.9585798816568046E-2</v>
      </c>
      <c r="AB54" s="785">
        <f t="shared" si="56"/>
        <v>0.47337278106508873</v>
      </c>
      <c r="AC54" s="785">
        <f t="shared" si="56"/>
        <v>1.1834319526627217</v>
      </c>
      <c r="AD54" s="829">
        <f>SUM(D54:AC54)</f>
        <v>32.921734446078602</v>
      </c>
      <c r="AE54" s="994"/>
      <c r="AF54" s="995"/>
      <c r="AG54" s="914"/>
      <c r="AH54" s="907"/>
      <c r="AI54" s="786"/>
      <c r="AJ54" s="787"/>
      <c r="AL54" s="232"/>
      <c r="AM54" s="233"/>
      <c r="AZ54" s="227"/>
    </row>
    <row r="55" spans="1:52" ht="55.95" customHeight="1" x14ac:dyDescent="0.3">
      <c r="A55" s="159">
        <f ca="1">OFFSET(A55,-3,0)+1</f>
        <v>16</v>
      </c>
      <c r="B55" s="736" t="str">
        <f ca="1">"Meranie č. "&amp;A55</f>
        <v>Meranie č. 16</v>
      </c>
      <c r="C55" s="1014" t="s">
        <v>617</v>
      </c>
      <c r="D55" s="779">
        <v>0</v>
      </c>
      <c r="E55" s="737">
        <v>0.5</v>
      </c>
      <c r="F55" s="737">
        <v>0</v>
      </c>
      <c r="G55" s="737">
        <v>3</v>
      </c>
      <c r="H55" s="737" t="s">
        <v>568</v>
      </c>
      <c r="I55" s="737" t="s">
        <v>568</v>
      </c>
      <c r="J55" s="737" t="s">
        <v>568</v>
      </c>
      <c r="K55" s="737" t="s">
        <v>568</v>
      </c>
      <c r="L55" s="737">
        <v>0</v>
      </c>
      <c r="M55" s="737">
        <v>0</v>
      </c>
      <c r="N55" s="737">
        <v>0</v>
      </c>
      <c r="O55" s="737" t="s">
        <v>572</v>
      </c>
      <c r="P55" s="737">
        <v>2</v>
      </c>
      <c r="Q55" s="737">
        <v>0</v>
      </c>
      <c r="R55" s="737">
        <v>16</v>
      </c>
      <c r="S55" s="737">
        <v>16</v>
      </c>
      <c r="T55" s="737">
        <v>16</v>
      </c>
      <c r="U55" s="737">
        <v>1</v>
      </c>
      <c r="V55" s="737">
        <v>0.5</v>
      </c>
      <c r="W55" s="737">
        <v>1.5</v>
      </c>
      <c r="X55" s="737">
        <v>0</v>
      </c>
      <c r="Y55" s="737">
        <v>16</v>
      </c>
      <c r="Z55" s="737">
        <v>1</v>
      </c>
      <c r="AA55" s="737">
        <v>0.5</v>
      </c>
      <c r="AB55" s="737">
        <v>16</v>
      </c>
      <c r="AC55" s="737">
        <v>40</v>
      </c>
      <c r="AD55" s="827">
        <f>SUM(D55:AC55)</f>
        <v>130</v>
      </c>
      <c r="AE55" s="990"/>
      <c r="AF55" s="991"/>
      <c r="AG55" s="912"/>
      <c r="AH55" s="904"/>
      <c r="AI55" s="738"/>
      <c r="AJ55" s="759"/>
      <c r="AL55" s="232"/>
      <c r="AZ55" s="227"/>
    </row>
    <row r="56" spans="1:52" x14ac:dyDescent="0.3">
      <c r="A56" s="159"/>
      <c r="B56" s="734"/>
      <c r="C56" s="718" t="s">
        <v>532</v>
      </c>
      <c r="D56" s="780">
        <v>0</v>
      </c>
      <c r="E56" s="783">
        <v>0</v>
      </c>
      <c r="F56" s="783">
        <v>0</v>
      </c>
      <c r="G56" s="783">
        <v>1</v>
      </c>
      <c r="H56" s="783"/>
      <c r="I56" s="783"/>
      <c r="J56" s="783"/>
      <c r="K56" s="783"/>
      <c r="L56" s="783">
        <v>0.25</v>
      </c>
      <c r="M56" s="783">
        <v>0.75</v>
      </c>
      <c r="N56" s="783">
        <v>0</v>
      </c>
      <c r="O56" s="783"/>
      <c r="P56" s="783">
        <v>1</v>
      </c>
      <c r="Q56" s="783">
        <v>0</v>
      </c>
      <c r="R56" s="783">
        <f>AH57/AG57</f>
        <v>0.3886962106615286</v>
      </c>
      <c r="S56" s="783">
        <f>1-R56</f>
        <v>0.6113037893384714</v>
      </c>
      <c r="T56" s="783">
        <f>$R56</f>
        <v>0.3886962106615286</v>
      </c>
      <c r="U56" s="783">
        <f>$S56</f>
        <v>0.6113037893384714</v>
      </c>
      <c r="V56" s="783">
        <v>1</v>
      </c>
      <c r="W56" s="783">
        <f>AI57/AG57</f>
        <v>0.24444444444444444</v>
      </c>
      <c r="X56" s="783">
        <v>0</v>
      </c>
      <c r="Y56" s="783">
        <f>W56</f>
        <v>0.24444444444444444</v>
      </c>
      <c r="Z56" s="783">
        <f>AJ57/AG57</f>
        <v>2.2222222222222223E-2</v>
      </c>
      <c r="AA56" s="783">
        <f>$Z56</f>
        <v>2.2222222222222223E-2</v>
      </c>
      <c r="AB56" s="783">
        <f>$AA56</f>
        <v>2.2222222222222223E-2</v>
      </c>
      <c r="AC56" s="783">
        <f>$AA56</f>
        <v>2.2222222222222223E-2</v>
      </c>
      <c r="AD56" s="828"/>
      <c r="AE56" s="992"/>
      <c r="AF56" s="993"/>
      <c r="AG56" s="913"/>
      <c r="AH56" s="906"/>
      <c r="AI56" s="781"/>
      <c r="AJ56" s="782"/>
      <c r="AL56" s="232"/>
      <c r="AM56" s="233"/>
      <c r="AZ56" s="227"/>
    </row>
    <row r="57" spans="1:52" x14ac:dyDescent="0.3">
      <c r="A57" s="159"/>
      <c r="B57" s="231"/>
      <c r="C57" s="718" t="s">
        <v>600</v>
      </c>
      <c r="D57" s="784">
        <f>D55*D56</f>
        <v>0</v>
      </c>
      <c r="E57" s="785">
        <f t="shared" ref="E57:G57" si="57">E55*E56</f>
        <v>0</v>
      </c>
      <c r="F57" s="785">
        <f t="shared" si="57"/>
        <v>0</v>
      </c>
      <c r="G57" s="785">
        <f t="shared" si="57"/>
        <v>3</v>
      </c>
      <c r="H57" s="785"/>
      <c r="I57" s="785"/>
      <c r="J57" s="785"/>
      <c r="K57" s="785"/>
      <c r="L57" s="785">
        <f t="shared" ref="L57:N57" si="58">L55*L56</f>
        <v>0</v>
      </c>
      <c r="M57" s="785">
        <f t="shared" si="58"/>
        <v>0</v>
      </c>
      <c r="N57" s="785">
        <f t="shared" si="58"/>
        <v>0</v>
      </c>
      <c r="O57" s="785"/>
      <c r="P57" s="785">
        <f t="shared" ref="P57:AC57" si="59">P55*P56</f>
        <v>2</v>
      </c>
      <c r="Q57" s="785">
        <f t="shared" si="59"/>
        <v>0</v>
      </c>
      <c r="R57" s="785">
        <f t="shared" si="59"/>
        <v>6.2191393705844575</v>
      </c>
      <c r="S57" s="785">
        <f t="shared" si="59"/>
        <v>9.7808606294155425</v>
      </c>
      <c r="T57" s="785">
        <f t="shared" si="59"/>
        <v>6.2191393705844575</v>
      </c>
      <c r="U57" s="785">
        <f t="shared" si="59"/>
        <v>0.6113037893384714</v>
      </c>
      <c r="V57" s="785">
        <f t="shared" si="59"/>
        <v>0.5</v>
      </c>
      <c r="W57" s="785">
        <f t="shared" si="59"/>
        <v>0.36666666666666664</v>
      </c>
      <c r="X57" s="785">
        <f t="shared" si="59"/>
        <v>0</v>
      </c>
      <c r="Y57" s="785">
        <f t="shared" si="59"/>
        <v>3.911111111111111</v>
      </c>
      <c r="Z57" s="785">
        <f t="shared" si="59"/>
        <v>2.2222222222222223E-2</v>
      </c>
      <c r="AA57" s="785">
        <f t="shared" si="59"/>
        <v>1.1111111111111112E-2</v>
      </c>
      <c r="AB57" s="785">
        <f t="shared" si="59"/>
        <v>0.35555555555555557</v>
      </c>
      <c r="AC57" s="785">
        <f t="shared" si="59"/>
        <v>0.88888888888888895</v>
      </c>
      <c r="AD57" s="829">
        <f>SUM(D57:AC57)</f>
        <v>33.885998715478486</v>
      </c>
      <c r="AE57" s="994">
        <v>27</v>
      </c>
      <c r="AF57" s="995">
        <f>ROUND(169*AE57/SUM(AE$49:AE$69),0)</f>
        <v>18</v>
      </c>
      <c r="AG57" s="914">
        <f>SUM(AE57:AF57)</f>
        <v>45</v>
      </c>
      <c r="AH57" s="907">
        <f>10+(147-75)*AF57/AF$48</f>
        <v>17.491329479768787</v>
      </c>
      <c r="AI57" s="786">
        <f>ROUND(89*AH57/AH$48,0)</f>
        <v>11</v>
      </c>
      <c r="AJ57" s="787">
        <f>ROUND(12*AI57/AI$48,0)</f>
        <v>1</v>
      </c>
      <c r="AL57" s="232"/>
      <c r="AM57" s="233"/>
      <c r="AZ57" s="227"/>
    </row>
    <row r="58" spans="1:52" ht="56.4" customHeight="1" x14ac:dyDescent="0.3">
      <c r="A58" s="159">
        <f ca="1">OFFSET(A58,-3,0)+1</f>
        <v>17</v>
      </c>
      <c r="B58" s="981" t="str">
        <f t="shared" ref="B58" ca="1" si="60">"Meranie č. "&amp;A58</f>
        <v>Meranie č. 17</v>
      </c>
      <c r="C58" s="1014" t="s">
        <v>618</v>
      </c>
      <c r="D58" s="779">
        <v>0</v>
      </c>
      <c r="E58" s="737">
        <v>0.5</v>
      </c>
      <c r="F58" s="737">
        <v>0</v>
      </c>
      <c r="G58" s="737">
        <v>3</v>
      </c>
      <c r="H58" s="737" t="s">
        <v>568</v>
      </c>
      <c r="I58" s="737" t="s">
        <v>568</v>
      </c>
      <c r="J58" s="737" t="s">
        <v>568</v>
      </c>
      <c r="K58" s="737" t="s">
        <v>568</v>
      </c>
      <c r="L58" s="737">
        <v>0</v>
      </c>
      <c r="M58" s="737">
        <v>2</v>
      </c>
      <c r="N58" s="737">
        <v>0</v>
      </c>
      <c r="O58" s="737" t="s">
        <v>572</v>
      </c>
      <c r="P58" s="737">
        <v>2</v>
      </c>
      <c r="Q58" s="737">
        <v>0</v>
      </c>
      <c r="R58" s="737">
        <v>16</v>
      </c>
      <c r="S58" s="737">
        <v>13</v>
      </c>
      <c r="T58" s="737">
        <v>0</v>
      </c>
      <c r="U58" s="737">
        <v>1</v>
      </c>
      <c r="V58" s="737">
        <v>0.5</v>
      </c>
      <c r="W58" s="737">
        <v>1.5</v>
      </c>
      <c r="X58" s="737">
        <v>0</v>
      </c>
      <c r="Y58" s="737">
        <v>16</v>
      </c>
      <c r="Z58" s="737">
        <v>1</v>
      </c>
      <c r="AA58" s="737">
        <v>2</v>
      </c>
      <c r="AB58" s="737">
        <v>16</v>
      </c>
      <c r="AC58" s="737">
        <v>40</v>
      </c>
      <c r="AD58" s="827">
        <f>SUM(D58:AC58)</f>
        <v>114.5</v>
      </c>
      <c r="AE58" s="990"/>
      <c r="AF58" s="991"/>
      <c r="AG58" s="912"/>
      <c r="AH58" s="904"/>
      <c r="AI58" s="738"/>
      <c r="AJ58" s="759"/>
      <c r="AL58" s="232"/>
      <c r="AZ58" s="227"/>
    </row>
    <row r="59" spans="1:52" x14ac:dyDescent="0.3">
      <c r="A59" s="159"/>
      <c r="B59" s="734"/>
      <c r="C59" s="718" t="s">
        <v>532</v>
      </c>
      <c r="D59" s="780">
        <v>0</v>
      </c>
      <c r="E59" s="783">
        <v>0</v>
      </c>
      <c r="F59" s="783">
        <v>0</v>
      </c>
      <c r="G59" s="783">
        <v>1</v>
      </c>
      <c r="H59" s="783"/>
      <c r="I59" s="783"/>
      <c r="J59" s="783"/>
      <c r="K59" s="783"/>
      <c r="L59" s="783">
        <v>0.25</v>
      </c>
      <c r="M59" s="783">
        <v>0.75</v>
      </c>
      <c r="N59" s="783">
        <v>0</v>
      </c>
      <c r="O59" s="783"/>
      <c r="P59" s="783">
        <v>1</v>
      </c>
      <c r="Q59" s="783">
        <v>0</v>
      </c>
      <c r="R59" s="783">
        <f>AH60/AG60</f>
        <v>0.29147398843930639</v>
      </c>
      <c r="S59" s="783">
        <f>1-R59</f>
        <v>0.70852601156069361</v>
      </c>
      <c r="T59" s="783">
        <f>$R59</f>
        <v>0.29147398843930639</v>
      </c>
      <c r="U59" s="783">
        <f>$S59</f>
        <v>0.70852601156069361</v>
      </c>
      <c r="V59" s="783">
        <v>1</v>
      </c>
      <c r="W59" s="783">
        <f>AI60/AG60</f>
        <v>0.17499999999999999</v>
      </c>
      <c r="X59" s="783">
        <v>0</v>
      </c>
      <c r="Y59" s="783">
        <f>W59</f>
        <v>0.17499999999999999</v>
      </c>
      <c r="Z59" s="783">
        <f>AJ60/AG60</f>
        <v>2.5000000000000001E-2</v>
      </c>
      <c r="AA59" s="783">
        <f>$Z59</f>
        <v>2.5000000000000001E-2</v>
      </c>
      <c r="AB59" s="783">
        <f>$AA59</f>
        <v>2.5000000000000001E-2</v>
      </c>
      <c r="AC59" s="783">
        <f>$AA59</f>
        <v>2.5000000000000001E-2</v>
      </c>
      <c r="AD59" s="828"/>
      <c r="AE59" s="992"/>
      <c r="AF59" s="993"/>
      <c r="AG59" s="913"/>
      <c r="AH59" s="906"/>
      <c r="AI59" s="781"/>
      <c r="AJ59" s="782"/>
      <c r="AL59" s="232"/>
      <c r="AM59" s="233"/>
      <c r="AZ59" s="227"/>
    </row>
    <row r="60" spans="1:52" x14ac:dyDescent="0.3">
      <c r="A60" s="159"/>
      <c r="B60" s="231"/>
      <c r="C60" s="718" t="s">
        <v>600</v>
      </c>
      <c r="D60" s="784">
        <f>D58*D59</f>
        <v>0</v>
      </c>
      <c r="E60" s="785">
        <f t="shared" ref="E60:G60" si="61">E58*E59</f>
        <v>0</v>
      </c>
      <c r="F60" s="785">
        <f t="shared" si="61"/>
        <v>0</v>
      </c>
      <c r="G60" s="785">
        <f t="shared" si="61"/>
        <v>3</v>
      </c>
      <c r="H60" s="785"/>
      <c r="I60" s="785"/>
      <c r="J60" s="785"/>
      <c r="K60" s="785"/>
      <c r="L60" s="785">
        <f t="shared" ref="L60:N60" si="62">L58*L59</f>
        <v>0</v>
      </c>
      <c r="M60" s="785">
        <f t="shared" si="62"/>
        <v>1.5</v>
      </c>
      <c r="N60" s="785">
        <f t="shared" si="62"/>
        <v>0</v>
      </c>
      <c r="O60" s="785"/>
      <c r="P60" s="785">
        <f t="shared" ref="P60:AC60" si="63">P58*P59</f>
        <v>2</v>
      </c>
      <c r="Q60" s="785">
        <f t="shared" si="63"/>
        <v>0</v>
      </c>
      <c r="R60" s="785">
        <f t="shared" si="63"/>
        <v>4.6635838150289022</v>
      </c>
      <c r="S60" s="785">
        <f t="shared" si="63"/>
        <v>9.2108381502890175</v>
      </c>
      <c r="T60" s="785">
        <f t="shared" si="63"/>
        <v>0</v>
      </c>
      <c r="U60" s="785">
        <f t="shared" si="63"/>
        <v>0.70852601156069361</v>
      </c>
      <c r="V60" s="785">
        <f t="shared" si="63"/>
        <v>0.5</v>
      </c>
      <c r="W60" s="785">
        <f t="shared" si="63"/>
        <v>0.26249999999999996</v>
      </c>
      <c r="X60" s="785">
        <f t="shared" si="63"/>
        <v>0</v>
      </c>
      <c r="Y60" s="785">
        <f t="shared" si="63"/>
        <v>2.8</v>
      </c>
      <c r="Z60" s="785">
        <f t="shared" si="63"/>
        <v>2.5000000000000001E-2</v>
      </c>
      <c r="AA60" s="785">
        <f t="shared" si="63"/>
        <v>0.05</v>
      </c>
      <c r="AB60" s="785">
        <f t="shared" si="63"/>
        <v>0.4</v>
      </c>
      <c r="AC60" s="785">
        <f t="shared" si="63"/>
        <v>1</v>
      </c>
      <c r="AD60" s="829">
        <f>SUM(D60:AC60)</f>
        <v>26.120447976878612</v>
      </c>
      <c r="AE60" s="994">
        <v>24</v>
      </c>
      <c r="AF60" s="995">
        <f>ROUND(169*AE60/SUM(AE$49:AE$69),0)</f>
        <v>16</v>
      </c>
      <c r="AG60" s="914">
        <f>SUM(AE60:AF60)</f>
        <v>40</v>
      </c>
      <c r="AH60" s="907">
        <f>5+(147-75)*AF60/AF$48</f>
        <v>11.658959537572255</v>
      </c>
      <c r="AI60" s="786">
        <f>ROUND(89*AH60/AH$48,0)</f>
        <v>7</v>
      </c>
      <c r="AJ60" s="787">
        <f>ROUND(12*AI60/AI$48,0)</f>
        <v>1</v>
      </c>
      <c r="AL60" s="232"/>
      <c r="AM60" s="233"/>
      <c r="AZ60" s="227"/>
    </row>
    <row r="61" spans="1:52" ht="47.4" customHeight="1" x14ac:dyDescent="0.3">
      <c r="A61" s="159">
        <f ca="1">OFFSET(A61,-3,0)+1</f>
        <v>18</v>
      </c>
      <c r="B61" s="981" t="str">
        <f t="shared" ref="B61" ca="1" si="64">"Meranie č. "&amp;A61</f>
        <v>Meranie č. 18</v>
      </c>
      <c r="C61" s="1014" t="s">
        <v>632</v>
      </c>
      <c r="D61" s="779">
        <v>0</v>
      </c>
      <c r="E61" s="737">
        <v>0.5</v>
      </c>
      <c r="F61" s="737">
        <v>0</v>
      </c>
      <c r="G61" s="737">
        <v>24</v>
      </c>
      <c r="H61" s="737" t="s">
        <v>568</v>
      </c>
      <c r="I61" s="737" t="s">
        <v>568</v>
      </c>
      <c r="J61" s="737" t="s">
        <v>568</v>
      </c>
      <c r="K61" s="737">
        <v>8</v>
      </c>
      <c r="L61" s="737">
        <v>2</v>
      </c>
      <c r="M61" s="737">
        <v>0</v>
      </c>
      <c r="N61" s="737">
        <v>0</v>
      </c>
      <c r="O61" s="737" t="s">
        <v>572</v>
      </c>
      <c r="P61" s="737">
        <v>40</v>
      </c>
      <c r="Q61" s="737">
        <v>0</v>
      </c>
      <c r="R61" s="737">
        <v>80</v>
      </c>
      <c r="S61" s="737">
        <v>80</v>
      </c>
      <c r="T61" s="737">
        <v>24</v>
      </c>
      <c r="U61" s="737">
        <v>3</v>
      </c>
      <c r="V61" s="737">
        <v>0.5</v>
      </c>
      <c r="W61" s="737">
        <v>0</v>
      </c>
      <c r="X61" s="737">
        <v>0</v>
      </c>
      <c r="Y61" s="737">
        <v>0</v>
      </c>
      <c r="Z61" s="737">
        <v>0</v>
      </c>
      <c r="AA61" s="737">
        <v>0</v>
      </c>
      <c r="AB61" s="737">
        <v>0</v>
      </c>
      <c r="AC61" s="737">
        <v>0</v>
      </c>
      <c r="AD61" s="827">
        <f>SUM(D61:AC61)</f>
        <v>262</v>
      </c>
      <c r="AE61" s="990"/>
      <c r="AF61" s="991"/>
      <c r="AG61" s="912"/>
      <c r="AH61" s="904"/>
      <c r="AI61" s="738"/>
      <c r="AJ61" s="759"/>
      <c r="AL61" s="232"/>
      <c r="AZ61" s="227"/>
    </row>
    <row r="62" spans="1:52" x14ac:dyDescent="0.3">
      <c r="A62" s="159"/>
      <c r="B62" s="734"/>
      <c r="C62" s="718" t="s">
        <v>532</v>
      </c>
      <c r="D62" s="780">
        <v>0</v>
      </c>
      <c r="E62" s="783">
        <v>0</v>
      </c>
      <c r="F62" s="783">
        <v>0</v>
      </c>
      <c r="G62" s="783">
        <v>1</v>
      </c>
      <c r="H62" s="783"/>
      <c r="I62" s="783"/>
      <c r="J62" s="783"/>
      <c r="K62" s="783"/>
      <c r="L62" s="783">
        <v>0.25</v>
      </c>
      <c r="M62" s="783">
        <v>0.75</v>
      </c>
      <c r="N62" s="783">
        <v>0</v>
      </c>
      <c r="O62" s="783"/>
      <c r="P62" s="783">
        <v>1</v>
      </c>
      <c r="Q62" s="783">
        <v>0</v>
      </c>
      <c r="R62" s="783">
        <f>AH63/AG63</f>
        <v>0.35058475601559347</v>
      </c>
      <c r="S62" s="783">
        <f>1-R62</f>
        <v>0.64941524398440653</v>
      </c>
      <c r="T62" s="783">
        <f>$R62</f>
        <v>0.35058475601559347</v>
      </c>
      <c r="U62" s="783">
        <f>$S62</f>
        <v>0.64941524398440653</v>
      </c>
      <c r="V62" s="783">
        <v>1</v>
      </c>
      <c r="W62" s="783">
        <f>AI63/AG63</f>
        <v>0.20930232558139536</v>
      </c>
      <c r="X62" s="783">
        <v>0</v>
      </c>
      <c r="Y62" s="783">
        <f>W62</f>
        <v>0.20930232558139536</v>
      </c>
      <c r="Z62" s="783">
        <f>AJ63/AG63</f>
        <v>2.3255813953488372E-2</v>
      </c>
      <c r="AA62" s="783">
        <f>$Z62</f>
        <v>2.3255813953488372E-2</v>
      </c>
      <c r="AB62" s="783">
        <f>$AA62</f>
        <v>2.3255813953488372E-2</v>
      </c>
      <c r="AC62" s="783">
        <f>$AA62</f>
        <v>2.3255813953488372E-2</v>
      </c>
      <c r="AD62" s="828"/>
      <c r="AE62" s="992"/>
      <c r="AF62" s="993"/>
      <c r="AG62" s="913"/>
      <c r="AH62" s="906"/>
      <c r="AI62" s="781"/>
      <c r="AJ62" s="782"/>
      <c r="AL62" s="232"/>
      <c r="AM62" s="233"/>
      <c r="AZ62" s="227"/>
    </row>
    <row r="63" spans="1:52" x14ac:dyDescent="0.3">
      <c r="A63" s="159"/>
      <c r="B63" s="734"/>
      <c r="C63" s="718" t="s">
        <v>600</v>
      </c>
      <c r="D63" s="784">
        <f>D61*D62</f>
        <v>0</v>
      </c>
      <c r="E63" s="785">
        <f t="shared" ref="E63:G63" si="65">E61*E62</f>
        <v>0</v>
      </c>
      <c r="F63" s="785">
        <f t="shared" si="65"/>
        <v>0</v>
      </c>
      <c r="G63" s="785">
        <f t="shared" si="65"/>
        <v>24</v>
      </c>
      <c r="H63" s="785"/>
      <c r="I63" s="785"/>
      <c r="J63" s="785"/>
      <c r="K63" s="785"/>
      <c r="L63" s="785">
        <f t="shared" ref="L63:N63" si="66">L61*L62</f>
        <v>0.5</v>
      </c>
      <c r="M63" s="785">
        <f t="shared" si="66"/>
        <v>0</v>
      </c>
      <c r="N63" s="785">
        <f t="shared" si="66"/>
        <v>0</v>
      </c>
      <c r="O63" s="785"/>
      <c r="P63" s="785">
        <f t="shared" ref="P63:AC63" si="67">P61*P62</f>
        <v>40</v>
      </c>
      <c r="Q63" s="785">
        <f t="shared" si="67"/>
        <v>0</v>
      </c>
      <c r="R63" s="785">
        <f t="shared" si="67"/>
        <v>28.046780481247477</v>
      </c>
      <c r="S63" s="785">
        <f t="shared" si="67"/>
        <v>51.953219518752519</v>
      </c>
      <c r="T63" s="785">
        <f t="shared" si="67"/>
        <v>8.4140341443742432</v>
      </c>
      <c r="U63" s="785">
        <f t="shared" si="67"/>
        <v>1.9482457319532196</v>
      </c>
      <c r="V63" s="785">
        <f t="shared" si="67"/>
        <v>0.5</v>
      </c>
      <c r="W63" s="785">
        <f t="shared" si="67"/>
        <v>0</v>
      </c>
      <c r="X63" s="785">
        <f t="shared" si="67"/>
        <v>0</v>
      </c>
      <c r="Y63" s="785">
        <f t="shared" si="67"/>
        <v>0</v>
      </c>
      <c r="Z63" s="785">
        <f t="shared" si="67"/>
        <v>0</v>
      </c>
      <c r="AA63" s="785">
        <f t="shared" si="67"/>
        <v>0</v>
      </c>
      <c r="AB63" s="785">
        <f t="shared" si="67"/>
        <v>0</v>
      </c>
      <c r="AC63" s="785">
        <f t="shared" si="67"/>
        <v>0</v>
      </c>
      <c r="AD63" s="829">
        <f>SUM(D63:AC63)</f>
        <v>155.36227987632748</v>
      </c>
      <c r="AE63" s="992">
        <v>52</v>
      </c>
      <c r="AF63" s="993">
        <f>ROUND(169*AE63/SUM(AE$49:AE$69),0)</f>
        <v>34</v>
      </c>
      <c r="AG63" s="913">
        <f>SUM(AE63:AF63)</f>
        <v>86</v>
      </c>
      <c r="AH63" s="906">
        <f>16+(147-75)*AF63/AF$48</f>
        <v>30.150289017341038</v>
      </c>
      <c r="AI63" s="781">
        <f>ROUND(89*AH63/AH$48,0)</f>
        <v>18</v>
      </c>
      <c r="AJ63" s="782">
        <f>ROUND(12*AI63/AI$48,0)</f>
        <v>2</v>
      </c>
      <c r="AL63" s="232"/>
      <c r="AM63" s="233"/>
      <c r="AZ63" s="227"/>
    </row>
    <row r="64" spans="1:52" ht="42.6" customHeight="1" x14ac:dyDescent="0.3">
      <c r="A64" s="159">
        <f ca="1">OFFSET(A64,-3,0)+1</f>
        <v>19</v>
      </c>
      <c r="B64" s="736" t="str">
        <f t="shared" ref="B64" ca="1" si="68">"Meranie č. "&amp;A64</f>
        <v>Meranie č. 19</v>
      </c>
      <c r="C64" s="1014" t="s">
        <v>770</v>
      </c>
      <c r="D64" s="779">
        <v>0</v>
      </c>
      <c r="E64" s="737">
        <v>0.5</v>
      </c>
      <c r="F64" s="737">
        <v>0</v>
      </c>
      <c r="G64" s="737">
        <v>24</v>
      </c>
      <c r="H64" s="737" t="s">
        <v>568</v>
      </c>
      <c r="I64" s="737" t="s">
        <v>568</v>
      </c>
      <c r="J64" s="737" t="s">
        <v>568</v>
      </c>
      <c r="K64" s="737" t="s">
        <v>568</v>
      </c>
      <c r="L64" s="737">
        <v>2</v>
      </c>
      <c r="M64" s="737">
        <v>16</v>
      </c>
      <c r="N64" s="737">
        <v>32</v>
      </c>
      <c r="O64" s="737" t="s">
        <v>764</v>
      </c>
      <c r="P64" s="737">
        <v>40</v>
      </c>
      <c r="Q64" s="737">
        <v>0</v>
      </c>
      <c r="R64" s="737">
        <v>120</v>
      </c>
      <c r="S64" s="737">
        <v>120</v>
      </c>
      <c r="T64" s="737">
        <v>40</v>
      </c>
      <c r="U64" s="737">
        <v>40</v>
      </c>
      <c r="V64" s="737">
        <v>1</v>
      </c>
      <c r="W64" s="737">
        <v>0</v>
      </c>
      <c r="X64" s="737">
        <v>0</v>
      </c>
      <c r="Y64" s="737">
        <v>0</v>
      </c>
      <c r="Z64" s="737">
        <v>0</v>
      </c>
      <c r="AA64" s="737">
        <v>0</v>
      </c>
      <c r="AB64" s="737">
        <v>0</v>
      </c>
      <c r="AC64" s="737">
        <v>0</v>
      </c>
      <c r="AD64" s="827">
        <f>SUM(D64:AC64)</f>
        <v>435.5</v>
      </c>
      <c r="AE64" s="996"/>
      <c r="AF64" s="997"/>
      <c r="AG64" s="998"/>
      <c r="AH64" s="999"/>
      <c r="AI64" s="1000"/>
      <c r="AJ64" s="769"/>
      <c r="AL64" s="232"/>
      <c r="AZ64" s="227"/>
    </row>
    <row r="65" spans="1:52" x14ac:dyDescent="0.3">
      <c r="A65" s="159"/>
      <c r="B65" s="734"/>
      <c r="C65" s="718" t="s">
        <v>532</v>
      </c>
      <c r="D65" s="780">
        <v>0</v>
      </c>
      <c r="E65" s="783">
        <v>0</v>
      </c>
      <c r="F65" s="783">
        <v>0</v>
      </c>
      <c r="G65" s="783">
        <v>1</v>
      </c>
      <c r="H65" s="783"/>
      <c r="I65" s="783"/>
      <c r="J65" s="783"/>
      <c r="K65" s="783"/>
      <c r="L65" s="783">
        <v>0.25</v>
      </c>
      <c r="M65" s="783">
        <v>0.75</v>
      </c>
      <c r="N65" s="783">
        <v>0</v>
      </c>
      <c r="O65" s="783"/>
      <c r="P65" s="783">
        <v>1</v>
      </c>
      <c r="Q65" s="783">
        <v>0</v>
      </c>
      <c r="R65" s="783">
        <f>AH63/AG63</f>
        <v>0.35058475601559347</v>
      </c>
      <c r="S65" s="783">
        <f>1-R65</f>
        <v>0.64941524398440653</v>
      </c>
      <c r="T65" s="783">
        <f>$R65</f>
        <v>0.35058475601559347</v>
      </c>
      <c r="U65" s="783">
        <f>$S65</f>
        <v>0.64941524398440653</v>
      </c>
      <c r="V65" s="783">
        <v>1</v>
      </c>
      <c r="W65" s="783">
        <f>AI63/AG63</f>
        <v>0.20930232558139536</v>
      </c>
      <c r="X65" s="783">
        <v>0</v>
      </c>
      <c r="Y65" s="783">
        <f>W65</f>
        <v>0.20930232558139536</v>
      </c>
      <c r="Z65" s="783">
        <f>AJ63/AG63</f>
        <v>2.3255813953488372E-2</v>
      </c>
      <c r="AA65" s="783">
        <f>$Z65</f>
        <v>2.3255813953488372E-2</v>
      </c>
      <c r="AB65" s="783">
        <f>$AA65</f>
        <v>2.3255813953488372E-2</v>
      </c>
      <c r="AC65" s="783">
        <f>$AA65</f>
        <v>2.3255813953488372E-2</v>
      </c>
      <c r="AD65" s="828"/>
      <c r="AE65" s="992"/>
      <c r="AF65" s="993"/>
      <c r="AG65" s="913"/>
      <c r="AH65" s="906"/>
      <c r="AI65" s="781"/>
      <c r="AJ65" s="782"/>
      <c r="AL65" s="232"/>
      <c r="AM65" s="233"/>
      <c r="AZ65" s="227"/>
    </row>
    <row r="66" spans="1:52" x14ac:dyDescent="0.3">
      <c r="A66" s="159"/>
      <c r="B66" s="231"/>
      <c r="C66" s="718" t="s">
        <v>600</v>
      </c>
      <c r="D66" s="784">
        <f>D64*D65</f>
        <v>0</v>
      </c>
      <c r="E66" s="785">
        <f t="shared" ref="E66:G66" si="69">E64*E65</f>
        <v>0</v>
      </c>
      <c r="F66" s="785">
        <f t="shared" si="69"/>
        <v>0</v>
      </c>
      <c r="G66" s="785">
        <f t="shared" si="69"/>
        <v>24</v>
      </c>
      <c r="H66" s="785"/>
      <c r="I66" s="785"/>
      <c r="J66" s="785"/>
      <c r="K66" s="785"/>
      <c r="L66" s="785">
        <f t="shared" ref="L66:N66" si="70">L64*L65</f>
        <v>0.5</v>
      </c>
      <c r="M66" s="785">
        <f t="shared" si="70"/>
        <v>12</v>
      </c>
      <c r="N66" s="785">
        <f t="shared" si="70"/>
        <v>0</v>
      </c>
      <c r="O66" s="785"/>
      <c r="P66" s="785">
        <f t="shared" ref="P66:AC66" si="71">P64*P65</f>
        <v>40</v>
      </c>
      <c r="Q66" s="785">
        <f t="shared" si="71"/>
        <v>0</v>
      </c>
      <c r="R66" s="785">
        <f t="shared" si="71"/>
        <v>42.070170721871214</v>
      </c>
      <c r="S66" s="785">
        <f t="shared" si="71"/>
        <v>77.929829278128778</v>
      </c>
      <c r="T66" s="785">
        <f t="shared" si="71"/>
        <v>14.023390240623739</v>
      </c>
      <c r="U66" s="785">
        <f t="shared" si="71"/>
        <v>25.976609759376259</v>
      </c>
      <c r="V66" s="785">
        <f t="shared" si="71"/>
        <v>1</v>
      </c>
      <c r="W66" s="785">
        <f t="shared" si="71"/>
        <v>0</v>
      </c>
      <c r="X66" s="785">
        <f t="shared" si="71"/>
        <v>0</v>
      </c>
      <c r="Y66" s="785">
        <f t="shared" si="71"/>
        <v>0</v>
      </c>
      <c r="Z66" s="785">
        <f t="shared" si="71"/>
        <v>0</v>
      </c>
      <c r="AA66" s="785">
        <f t="shared" si="71"/>
        <v>0</v>
      </c>
      <c r="AB66" s="785">
        <f t="shared" si="71"/>
        <v>0</v>
      </c>
      <c r="AC66" s="785">
        <f t="shared" si="71"/>
        <v>0</v>
      </c>
      <c r="AD66" s="829">
        <f>SUM(D66:AC66)</f>
        <v>237.5</v>
      </c>
      <c r="AE66" s="994"/>
      <c r="AF66" s="995"/>
      <c r="AG66" s="914"/>
      <c r="AH66" s="907"/>
      <c r="AI66" s="786"/>
      <c r="AJ66" s="787"/>
      <c r="AL66" s="232"/>
      <c r="AM66" s="233"/>
      <c r="AZ66" s="227"/>
    </row>
    <row r="67" spans="1:52" ht="73.95" customHeight="1" x14ac:dyDescent="0.3">
      <c r="A67" s="159">
        <f ca="1">OFFSET(A67,-3,0)+1</f>
        <v>20</v>
      </c>
      <c r="B67" s="736" t="str">
        <f t="shared" ref="B67" ca="1" si="72">"Meranie č. "&amp;A67</f>
        <v>Meranie č. 20</v>
      </c>
      <c r="C67" s="1014" t="s">
        <v>605</v>
      </c>
      <c r="D67" s="779">
        <v>0</v>
      </c>
      <c r="E67" s="737">
        <v>0</v>
      </c>
      <c r="F67" s="737">
        <v>1</v>
      </c>
      <c r="G67" s="737">
        <v>16</v>
      </c>
      <c r="H67" s="737" t="s">
        <v>568</v>
      </c>
      <c r="I67" s="737" t="s">
        <v>568</v>
      </c>
      <c r="J67" s="737" t="s">
        <v>568</v>
      </c>
      <c r="K67" s="737" t="s">
        <v>568</v>
      </c>
      <c r="L67" s="737">
        <v>1</v>
      </c>
      <c r="M67" s="737">
        <v>1</v>
      </c>
      <c r="N67" s="737">
        <v>0</v>
      </c>
      <c r="O67" s="737" t="s">
        <v>572</v>
      </c>
      <c r="P67" s="737">
        <v>2</v>
      </c>
      <c r="Q67" s="737">
        <v>0</v>
      </c>
      <c r="R67" s="737">
        <v>24</v>
      </c>
      <c r="S67" s="737">
        <v>24</v>
      </c>
      <c r="T67" s="737">
        <v>12</v>
      </c>
      <c r="U67" s="737">
        <v>3</v>
      </c>
      <c r="V67" s="737">
        <v>0.5</v>
      </c>
      <c r="W67" s="737">
        <v>0.5</v>
      </c>
      <c r="X67" s="737">
        <v>0</v>
      </c>
      <c r="Y67" s="737">
        <v>16</v>
      </c>
      <c r="Z67" s="737">
        <v>0.5</v>
      </c>
      <c r="AA67" s="737">
        <v>2</v>
      </c>
      <c r="AB67" s="737">
        <v>16</v>
      </c>
      <c r="AC67" s="737">
        <v>40</v>
      </c>
      <c r="AD67" s="827">
        <f>SUM(D67:AC67)</f>
        <v>159.5</v>
      </c>
      <c r="AE67" s="990"/>
      <c r="AF67" s="991"/>
      <c r="AG67" s="912"/>
      <c r="AH67" s="904"/>
      <c r="AI67" s="738"/>
      <c r="AJ67" s="759"/>
      <c r="AL67" s="232"/>
      <c r="AZ67" s="227"/>
    </row>
    <row r="68" spans="1:52" x14ac:dyDescent="0.3">
      <c r="A68" s="159"/>
      <c r="B68" s="734"/>
      <c r="C68" s="718" t="s">
        <v>532</v>
      </c>
      <c r="D68" s="780">
        <v>0</v>
      </c>
      <c r="E68" s="783">
        <v>0</v>
      </c>
      <c r="F68" s="783">
        <v>0</v>
      </c>
      <c r="G68" s="783">
        <v>1</v>
      </c>
      <c r="H68" s="783"/>
      <c r="I68" s="783"/>
      <c r="J68" s="783"/>
      <c r="K68" s="783"/>
      <c r="L68" s="783">
        <v>0.25</v>
      </c>
      <c r="M68" s="783">
        <v>0.75</v>
      </c>
      <c r="N68" s="783">
        <v>0</v>
      </c>
      <c r="O68" s="783"/>
      <c r="P68" s="783">
        <v>1</v>
      </c>
      <c r="Q68" s="783">
        <v>0</v>
      </c>
      <c r="R68" s="783">
        <f>AH69/AG69</f>
        <v>0.32097161784763267</v>
      </c>
      <c r="S68" s="783">
        <f>1-R68</f>
        <v>0.67902838215236727</v>
      </c>
      <c r="T68" s="783">
        <f>$R68</f>
        <v>0.32097161784763267</v>
      </c>
      <c r="U68" s="783">
        <f>$S68</f>
        <v>0.67902838215236727</v>
      </c>
      <c r="V68" s="783">
        <v>1</v>
      </c>
      <c r="W68" s="783">
        <f>AI69/AG69</f>
        <v>0.19101123595505617</v>
      </c>
      <c r="X68" s="783">
        <v>0</v>
      </c>
      <c r="Y68" s="783">
        <f>W68</f>
        <v>0.19101123595505617</v>
      </c>
      <c r="Z68" s="783">
        <f>AJ69/AG69</f>
        <v>2.247191011235955E-2</v>
      </c>
      <c r="AA68" s="783">
        <f>$Z68</f>
        <v>2.247191011235955E-2</v>
      </c>
      <c r="AB68" s="783">
        <f>$AA68</f>
        <v>2.247191011235955E-2</v>
      </c>
      <c r="AC68" s="783">
        <f>$AA68</f>
        <v>2.247191011235955E-2</v>
      </c>
      <c r="AD68" s="828"/>
      <c r="AE68" s="992"/>
      <c r="AF68" s="993"/>
      <c r="AG68" s="913"/>
      <c r="AH68" s="906"/>
      <c r="AI68" s="781"/>
      <c r="AJ68" s="782"/>
      <c r="AL68" s="232"/>
      <c r="AM68" s="233"/>
      <c r="AZ68" s="227"/>
    </row>
    <row r="69" spans="1:52" x14ac:dyDescent="0.3">
      <c r="A69" s="159"/>
      <c r="B69" s="734"/>
      <c r="C69" s="739" t="s">
        <v>600</v>
      </c>
      <c r="D69" s="809">
        <f>D67*D68</f>
        <v>0</v>
      </c>
      <c r="E69" s="810">
        <f t="shared" ref="E69:G69" si="73">E67*E68</f>
        <v>0</v>
      </c>
      <c r="F69" s="810">
        <f t="shared" si="73"/>
        <v>0</v>
      </c>
      <c r="G69" s="810">
        <f t="shared" si="73"/>
        <v>16</v>
      </c>
      <c r="H69" s="810"/>
      <c r="I69" s="810"/>
      <c r="J69" s="810"/>
      <c r="K69" s="810"/>
      <c r="L69" s="810">
        <f t="shared" ref="L69:N69" si="74">L67*L68</f>
        <v>0.25</v>
      </c>
      <c r="M69" s="810">
        <f t="shared" si="74"/>
        <v>0.75</v>
      </c>
      <c r="N69" s="810">
        <f t="shared" si="74"/>
        <v>0</v>
      </c>
      <c r="O69" s="810"/>
      <c r="P69" s="810">
        <f t="shared" ref="P69:AC69" si="75">P67*P68</f>
        <v>2</v>
      </c>
      <c r="Q69" s="810">
        <f t="shared" si="75"/>
        <v>0</v>
      </c>
      <c r="R69" s="810">
        <f t="shared" si="75"/>
        <v>7.7033188283431837</v>
      </c>
      <c r="S69" s="810">
        <f t="shared" si="75"/>
        <v>16.296681171656815</v>
      </c>
      <c r="T69" s="810">
        <f t="shared" si="75"/>
        <v>3.8516594141715919</v>
      </c>
      <c r="U69" s="810">
        <f t="shared" si="75"/>
        <v>2.0370851464571018</v>
      </c>
      <c r="V69" s="810">
        <f t="shared" si="75"/>
        <v>0.5</v>
      </c>
      <c r="W69" s="810">
        <f t="shared" si="75"/>
        <v>9.5505617977528087E-2</v>
      </c>
      <c r="X69" s="810">
        <f t="shared" si="75"/>
        <v>0</v>
      </c>
      <c r="Y69" s="810">
        <f t="shared" si="75"/>
        <v>3.0561797752808988</v>
      </c>
      <c r="Z69" s="810">
        <f t="shared" si="75"/>
        <v>1.1235955056179775E-2</v>
      </c>
      <c r="AA69" s="810">
        <f t="shared" si="75"/>
        <v>4.49438202247191E-2</v>
      </c>
      <c r="AB69" s="810">
        <f t="shared" si="75"/>
        <v>0.3595505617977528</v>
      </c>
      <c r="AC69" s="810">
        <f t="shared" si="75"/>
        <v>0.898876404494382</v>
      </c>
      <c r="AD69" s="830">
        <f>SUM(D69:AC69)</f>
        <v>53.85503669546015</v>
      </c>
      <c r="AE69" s="992">
        <v>54</v>
      </c>
      <c r="AF69" s="995">
        <f>ROUND(169*AE69/SUM(AE$49:AE$69),0)</f>
        <v>35</v>
      </c>
      <c r="AG69" s="913">
        <f>SUM(AE69:AF69)</f>
        <v>89</v>
      </c>
      <c r="AH69" s="907">
        <f>14+(147-75)*AF69/AF$48</f>
        <v>28.566473988439306</v>
      </c>
      <c r="AI69" s="786">
        <f>ROUND(89*AH69/AH$48,0)</f>
        <v>17</v>
      </c>
      <c r="AJ69" s="782">
        <f>ROUND(12*AI69/AI$48,0)</f>
        <v>2</v>
      </c>
      <c r="AL69" s="232"/>
      <c r="AM69" s="233"/>
      <c r="AZ69" s="227"/>
    </row>
    <row r="70" spans="1:52" ht="15" thickBot="1" x14ac:dyDescent="0.35">
      <c r="A70" s="159"/>
      <c r="B70" s="811"/>
      <c r="C70" s="812" t="s">
        <v>601</v>
      </c>
      <c r="D70" s="813"/>
      <c r="E70" s="813"/>
      <c r="F70" s="813"/>
      <c r="G70" s="814"/>
      <c r="H70" s="814"/>
      <c r="I70" s="814"/>
      <c r="J70" s="814"/>
      <c r="K70" s="814"/>
      <c r="L70" s="814"/>
      <c r="M70" s="814"/>
      <c r="N70" s="814"/>
      <c r="O70" s="814"/>
      <c r="P70" s="814"/>
      <c r="Q70" s="814"/>
      <c r="R70" s="814"/>
      <c r="S70" s="814"/>
      <c r="T70" s="814"/>
      <c r="U70" s="814"/>
      <c r="V70" s="814"/>
      <c r="W70" s="814"/>
      <c r="X70" s="814"/>
      <c r="Y70" s="814"/>
      <c r="Z70" s="814"/>
      <c r="AA70" s="814"/>
      <c r="AB70" s="814"/>
      <c r="AC70" s="814"/>
      <c r="AD70" s="831"/>
      <c r="AE70" s="835">
        <f>558-173-SUM(AE49:AE69)</f>
        <v>125</v>
      </c>
      <c r="AF70" s="1001">
        <v>4</v>
      </c>
      <c r="AG70" s="1002">
        <f>SUM(AE70:AF70)</f>
        <v>129</v>
      </c>
      <c r="AH70" s="1003">
        <f>5+(147-75)*AF70/AF$48</f>
        <v>6.6647398843930636</v>
      </c>
      <c r="AI70" s="1004">
        <f>ROUND(89*AH70/AH$48,0)</f>
        <v>4</v>
      </c>
      <c r="AJ70" s="1005">
        <f>ROUND(12*AI70/AI$48,0)</f>
        <v>1</v>
      </c>
    </row>
    <row r="71" spans="1:52" x14ac:dyDescent="0.3">
      <c r="A71" s="159"/>
      <c r="B71" s="725" t="s">
        <v>547</v>
      </c>
      <c r="C71" s="726" t="s">
        <v>535</v>
      </c>
      <c r="D71" s="730">
        <f t="shared" ref="D71:F71" si="76">D74*$AG74/2/($AG71-$AG84)+D77*$AG74/2/($AG71-$AG84)+D80*$AG80/2/($AG71-$AG84)+D83*$AG80/2/($AG71-$AG84)</f>
        <v>0</v>
      </c>
      <c r="E71" s="730">
        <f t="shared" si="76"/>
        <v>0</v>
      </c>
      <c r="F71" s="730">
        <f t="shared" si="76"/>
        <v>0</v>
      </c>
      <c r="G71" s="729">
        <f>G74*$AG74/2/($AG71-$AG84)+G77*$AG74/2/($AG71-$AG84)+G80*$AG80/2/($AG71-$AG84)+G83*$AG80/2/($AG71-$AG84)</f>
        <v>3.6005802707930368</v>
      </c>
      <c r="H71" s="799"/>
      <c r="I71" s="799"/>
      <c r="J71" s="799"/>
      <c r="K71" s="799"/>
      <c r="L71" s="729">
        <f t="shared" ref="L71:N71" si="77">L74*$AG74/2/($AG71-$AG84)+L77*$AG74/2/($AG71-$AG84)+L80*$AG80/2/($AG71-$AG84)+L83*$AG80/2/($AG71-$AG84)</f>
        <v>0.19970986460348161</v>
      </c>
      <c r="M71" s="730">
        <f t="shared" si="77"/>
        <v>0</v>
      </c>
      <c r="N71" s="730">
        <f t="shared" si="77"/>
        <v>0</v>
      </c>
      <c r="O71" s="730"/>
      <c r="P71" s="730">
        <f t="shared" ref="P71:AC71" si="78">P74*$AG74/2/($AG71-$AG84)+P77*$AG74/2/($AG71-$AG84)+P80*$AG80/2/($AG71-$AG84)+P83*$AG80/2/($AG71-$AG84)</f>
        <v>2.3994197292069632</v>
      </c>
      <c r="Q71" s="730">
        <f t="shared" si="78"/>
        <v>0</v>
      </c>
      <c r="R71" s="730">
        <f t="shared" si="78"/>
        <v>15.740812379110253</v>
      </c>
      <c r="S71" s="730">
        <f t="shared" si="78"/>
        <v>3.0638297872340425</v>
      </c>
      <c r="T71" s="730">
        <f t="shared" si="78"/>
        <v>6.6150870406189561</v>
      </c>
      <c r="U71" s="730">
        <f t="shared" si="78"/>
        <v>0.69632495164410058</v>
      </c>
      <c r="V71" s="730">
        <f t="shared" si="78"/>
        <v>0.75</v>
      </c>
      <c r="W71" s="730">
        <f t="shared" si="78"/>
        <v>0.24226305609284329</v>
      </c>
      <c r="X71" s="730">
        <f t="shared" si="78"/>
        <v>0</v>
      </c>
      <c r="Y71" s="730">
        <f t="shared" si="78"/>
        <v>6.9516441005802703</v>
      </c>
      <c r="Z71" s="730">
        <f t="shared" si="78"/>
        <v>1.9342359767891677E-2</v>
      </c>
      <c r="AA71" s="730">
        <f t="shared" si="78"/>
        <v>3.8684719535783355E-2</v>
      </c>
      <c r="AB71" s="730">
        <f t="shared" si="78"/>
        <v>0.21276595744680851</v>
      </c>
      <c r="AC71" s="730">
        <f t="shared" si="78"/>
        <v>1.3539651837524176</v>
      </c>
      <c r="AD71" s="832">
        <f>SUM(D71:AC71)</f>
        <v>41.884429400386836</v>
      </c>
      <c r="AE71" s="1006">
        <f t="shared" ref="AE71:AJ71" si="79">SUM(AE72:AE84)</f>
        <v>517</v>
      </c>
      <c r="AF71" s="1007">
        <f t="shared" si="79"/>
        <v>0</v>
      </c>
      <c r="AG71" s="915">
        <f t="shared" si="79"/>
        <v>517</v>
      </c>
      <c r="AH71" s="908">
        <f t="shared" si="79"/>
        <v>285</v>
      </c>
      <c r="AI71" s="732">
        <f t="shared" si="79"/>
        <v>167</v>
      </c>
      <c r="AJ71" s="758">
        <f t="shared" si="79"/>
        <v>20</v>
      </c>
      <c r="AL71" s="232"/>
      <c r="AM71"/>
      <c r="AZ71" s="227"/>
    </row>
    <row r="72" spans="1:52" ht="42.6" customHeight="1" x14ac:dyDescent="0.3">
      <c r="A72" s="159">
        <f ca="1">OFFSET(A72,-5,0)+1</f>
        <v>21</v>
      </c>
      <c r="B72" s="736" t="str">
        <f t="shared" ref="B72" ca="1" si="80">"Meranie č. "&amp;A72</f>
        <v>Meranie č. 21</v>
      </c>
      <c r="C72" s="1014" t="s">
        <v>606</v>
      </c>
      <c r="D72" s="779">
        <v>0</v>
      </c>
      <c r="E72" s="737">
        <v>0</v>
      </c>
      <c r="F72" s="737">
        <v>0</v>
      </c>
      <c r="G72" s="737">
        <v>4</v>
      </c>
      <c r="H72" s="737" t="s">
        <v>568</v>
      </c>
      <c r="I72" s="737" t="s">
        <v>568</v>
      </c>
      <c r="J72" s="737" t="s">
        <v>568</v>
      </c>
      <c r="K72" s="737" t="s">
        <v>568</v>
      </c>
      <c r="L72" s="737">
        <v>1</v>
      </c>
      <c r="M72" s="737" t="s">
        <v>570</v>
      </c>
      <c r="N72" s="737">
        <v>0</v>
      </c>
      <c r="O72" s="737" t="s">
        <v>572</v>
      </c>
      <c r="P72" s="737">
        <v>3</v>
      </c>
      <c r="Q72" s="737">
        <v>0.5</v>
      </c>
      <c r="R72" s="737">
        <v>24</v>
      </c>
      <c r="S72" s="737">
        <v>1</v>
      </c>
      <c r="T72" s="737">
        <v>12</v>
      </c>
      <c r="U72" s="737">
        <v>0</v>
      </c>
      <c r="V72" s="737">
        <v>0.5</v>
      </c>
      <c r="W72" s="737">
        <v>0.5</v>
      </c>
      <c r="X72" s="737">
        <v>3.5</v>
      </c>
      <c r="Y72" s="737">
        <v>20</v>
      </c>
      <c r="Z72" s="737">
        <v>0.5</v>
      </c>
      <c r="AA72" s="737">
        <v>1</v>
      </c>
      <c r="AB72" s="737">
        <v>12</v>
      </c>
      <c r="AC72" s="737">
        <v>40</v>
      </c>
      <c r="AD72" s="827">
        <f>SUM(D72:AC72)</f>
        <v>123.5</v>
      </c>
      <c r="AE72" s="990"/>
      <c r="AF72" s="991"/>
      <c r="AG72" s="912"/>
      <c r="AH72" s="904"/>
      <c r="AI72" s="738"/>
      <c r="AJ72" s="759"/>
      <c r="AL72" s="232"/>
      <c r="AZ72" s="227"/>
    </row>
    <row r="73" spans="1:52" x14ac:dyDescent="0.3">
      <c r="A73" s="159"/>
      <c r="B73" s="734"/>
      <c r="C73" s="718" t="s">
        <v>532</v>
      </c>
      <c r="D73" s="780">
        <v>0</v>
      </c>
      <c r="E73" s="783">
        <v>0</v>
      </c>
      <c r="F73" s="783">
        <v>0</v>
      </c>
      <c r="G73" s="783">
        <v>1</v>
      </c>
      <c r="H73" s="783"/>
      <c r="I73" s="783"/>
      <c r="J73" s="783"/>
      <c r="K73" s="783"/>
      <c r="L73" s="783">
        <v>0.25</v>
      </c>
      <c r="M73" s="783"/>
      <c r="N73" s="783">
        <v>0</v>
      </c>
      <c r="O73" s="783"/>
      <c r="P73" s="783">
        <v>1</v>
      </c>
      <c r="Q73" s="783">
        <v>0</v>
      </c>
      <c r="R73" s="783">
        <f>AH74/AG74</f>
        <v>0.54721549636803879</v>
      </c>
      <c r="S73" s="783">
        <f>1-R73</f>
        <v>0.45278450363196121</v>
      </c>
      <c r="T73" s="783">
        <f>$R73</f>
        <v>0.54721549636803879</v>
      </c>
      <c r="U73" s="783">
        <f>$S73</f>
        <v>0.45278450363196121</v>
      </c>
      <c r="V73" s="783">
        <v>1</v>
      </c>
      <c r="W73" s="783">
        <f>AI74/AG74</f>
        <v>0.30750605326876512</v>
      </c>
      <c r="X73" s="783">
        <v>0</v>
      </c>
      <c r="Y73" s="783">
        <f>W73</f>
        <v>0.30750605326876512</v>
      </c>
      <c r="Z73" s="783">
        <f>AJ74/AG74</f>
        <v>3.6319612590799029E-2</v>
      </c>
      <c r="AA73" s="783">
        <f>$Z73</f>
        <v>3.6319612590799029E-2</v>
      </c>
      <c r="AB73" s="783">
        <f>$AA73</f>
        <v>3.6319612590799029E-2</v>
      </c>
      <c r="AC73" s="783">
        <f>$AA73</f>
        <v>3.6319612590799029E-2</v>
      </c>
      <c r="AD73" s="828"/>
      <c r="AE73" s="992"/>
      <c r="AF73" s="993"/>
      <c r="AG73" s="913"/>
      <c r="AH73" s="906"/>
      <c r="AI73" s="781"/>
      <c r="AJ73" s="782"/>
      <c r="AL73" s="232"/>
      <c r="AM73" s="233"/>
      <c r="AZ73" s="227"/>
    </row>
    <row r="74" spans="1:52" x14ac:dyDescent="0.3">
      <c r="A74" s="159"/>
      <c r="B74" s="231"/>
      <c r="C74" s="718" t="s">
        <v>600</v>
      </c>
      <c r="D74" s="784">
        <f>D72*D73</f>
        <v>0</v>
      </c>
      <c r="E74" s="785">
        <f t="shared" ref="E74:G74" si="81">E72*E73</f>
        <v>0</v>
      </c>
      <c r="F74" s="785">
        <f t="shared" si="81"/>
        <v>0</v>
      </c>
      <c r="G74" s="785">
        <f t="shared" si="81"/>
        <v>4</v>
      </c>
      <c r="H74" s="785"/>
      <c r="I74" s="785"/>
      <c r="J74" s="785"/>
      <c r="K74" s="785"/>
      <c r="L74" s="785">
        <f t="shared" ref="L74:N74" si="82">L72*L73</f>
        <v>0.25</v>
      </c>
      <c r="M74" s="785"/>
      <c r="N74" s="785">
        <f t="shared" si="82"/>
        <v>0</v>
      </c>
      <c r="O74" s="785"/>
      <c r="P74" s="785">
        <f t="shared" ref="P74:AC74" si="83">P72*P73</f>
        <v>3</v>
      </c>
      <c r="Q74" s="785">
        <f t="shared" si="83"/>
        <v>0</v>
      </c>
      <c r="R74" s="785">
        <f t="shared" si="83"/>
        <v>13.133171912832932</v>
      </c>
      <c r="S74" s="785">
        <f t="shared" si="83"/>
        <v>0.45278450363196121</v>
      </c>
      <c r="T74" s="785">
        <f t="shared" si="83"/>
        <v>6.5665859564164659</v>
      </c>
      <c r="U74" s="785">
        <f t="shared" si="83"/>
        <v>0</v>
      </c>
      <c r="V74" s="785">
        <f t="shared" si="83"/>
        <v>0.5</v>
      </c>
      <c r="W74" s="785">
        <f t="shared" si="83"/>
        <v>0.15375302663438256</v>
      </c>
      <c r="X74" s="785">
        <f t="shared" si="83"/>
        <v>0</v>
      </c>
      <c r="Y74" s="785">
        <f t="shared" si="83"/>
        <v>6.150121065375302</v>
      </c>
      <c r="Z74" s="785">
        <f t="shared" si="83"/>
        <v>1.8159806295399514E-2</v>
      </c>
      <c r="AA74" s="785">
        <f t="shared" si="83"/>
        <v>3.6319612590799029E-2</v>
      </c>
      <c r="AB74" s="785">
        <f t="shared" si="83"/>
        <v>0.43583535108958837</v>
      </c>
      <c r="AC74" s="785">
        <f t="shared" si="83"/>
        <v>1.4527845036319611</v>
      </c>
      <c r="AD74" s="829">
        <f>SUM(D74:AC74)</f>
        <v>36.149515738498792</v>
      </c>
      <c r="AE74" s="992">
        <v>413</v>
      </c>
      <c r="AF74" s="993">
        <v>0</v>
      </c>
      <c r="AG74" s="913">
        <f>SUM(AE74:AF74)</f>
        <v>413</v>
      </c>
      <c r="AH74" s="906">
        <v>226</v>
      </c>
      <c r="AI74" s="781">
        <v>127</v>
      </c>
      <c r="AJ74" s="782">
        <f>ROUND(20*AI74/AI$71,0)</f>
        <v>15</v>
      </c>
      <c r="AL74" s="232"/>
      <c r="AM74" s="233"/>
      <c r="AZ74" s="227"/>
    </row>
    <row r="75" spans="1:52" ht="42.6" customHeight="1" x14ac:dyDescent="0.3">
      <c r="A75" s="159">
        <f ca="1">OFFSET(A75,-3,0)+1</f>
        <v>22</v>
      </c>
      <c r="B75" s="981" t="str">
        <f t="shared" ref="B75" ca="1" si="84">"Meranie č. "&amp;A75</f>
        <v>Meranie č. 22</v>
      </c>
      <c r="C75" s="1014" t="s">
        <v>771</v>
      </c>
      <c r="D75" s="779">
        <v>0</v>
      </c>
      <c r="E75" s="737">
        <v>0</v>
      </c>
      <c r="F75" s="737">
        <v>0</v>
      </c>
      <c r="G75" s="737">
        <v>3</v>
      </c>
      <c r="H75" s="737" t="s">
        <v>568</v>
      </c>
      <c r="I75" s="737" t="s">
        <v>568</v>
      </c>
      <c r="J75" s="737" t="s">
        <v>568</v>
      </c>
      <c r="K75" s="737" t="s">
        <v>568</v>
      </c>
      <c r="L75" s="737">
        <v>1</v>
      </c>
      <c r="M75" s="737" t="s">
        <v>570</v>
      </c>
      <c r="N75" s="737">
        <v>0</v>
      </c>
      <c r="O75" s="737" t="s">
        <v>572</v>
      </c>
      <c r="P75" s="737">
        <v>2</v>
      </c>
      <c r="Q75" s="737">
        <v>5</v>
      </c>
      <c r="R75" s="737">
        <v>24</v>
      </c>
      <c r="S75" s="737">
        <v>8</v>
      </c>
      <c r="T75" s="737">
        <v>12</v>
      </c>
      <c r="U75" s="737">
        <v>0</v>
      </c>
      <c r="V75" s="737">
        <v>1</v>
      </c>
      <c r="W75" s="737">
        <v>1</v>
      </c>
      <c r="X75" s="737">
        <v>3.5</v>
      </c>
      <c r="Y75" s="737">
        <v>24</v>
      </c>
      <c r="Z75" s="737">
        <v>0.5</v>
      </c>
      <c r="AA75" s="737">
        <v>1</v>
      </c>
      <c r="AB75" s="737">
        <v>0</v>
      </c>
      <c r="AC75" s="737">
        <v>0</v>
      </c>
      <c r="AD75" s="827">
        <f>SUM(D75:AC75)</f>
        <v>86</v>
      </c>
      <c r="AE75" s="996"/>
      <c r="AF75" s="997"/>
      <c r="AG75" s="998"/>
      <c r="AH75" s="999"/>
      <c r="AI75" s="1000"/>
      <c r="AJ75" s="769"/>
      <c r="AL75" s="232"/>
      <c r="AZ75" s="227"/>
    </row>
    <row r="76" spans="1:52" x14ac:dyDescent="0.3">
      <c r="A76" s="159"/>
      <c r="B76" s="734"/>
      <c r="C76" s="718" t="s">
        <v>532</v>
      </c>
      <c r="D76" s="780">
        <v>0</v>
      </c>
      <c r="E76" s="783">
        <v>0</v>
      </c>
      <c r="F76" s="783">
        <v>0</v>
      </c>
      <c r="G76" s="783">
        <v>1</v>
      </c>
      <c r="H76" s="783"/>
      <c r="I76" s="783"/>
      <c r="J76" s="783"/>
      <c r="K76" s="783"/>
      <c r="L76" s="783">
        <v>0.25</v>
      </c>
      <c r="M76" s="783"/>
      <c r="N76" s="783">
        <v>0</v>
      </c>
      <c r="O76" s="783"/>
      <c r="P76" s="783">
        <v>1</v>
      </c>
      <c r="Q76" s="783">
        <v>0</v>
      </c>
      <c r="R76" s="783">
        <f t="shared" ref="R76:W76" si="85">R73</f>
        <v>0.54721549636803879</v>
      </c>
      <c r="S76" s="783">
        <f t="shared" si="85"/>
        <v>0.45278450363196121</v>
      </c>
      <c r="T76" s="783">
        <f t="shared" si="85"/>
        <v>0.54721549636803879</v>
      </c>
      <c r="U76" s="783">
        <f t="shared" si="85"/>
        <v>0.45278450363196121</v>
      </c>
      <c r="V76" s="783">
        <v>1</v>
      </c>
      <c r="W76" s="783">
        <f t="shared" si="85"/>
        <v>0.30750605326876512</v>
      </c>
      <c r="X76" s="783">
        <v>0</v>
      </c>
      <c r="Y76" s="783">
        <f>W76</f>
        <v>0.30750605326876512</v>
      </c>
      <c r="Z76" s="783">
        <f t="shared" ref="Z76:AC76" si="86">Z73</f>
        <v>3.6319612590799029E-2</v>
      </c>
      <c r="AA76" s="783">
        <f t="shared" si="86"/>
        <v>3.6319612590799029E-2</v>
      </c>
      <c r="AB76" s="783">
        <f t="shared" si="86"/>
        <v>3.6319612590799029E-2</v>
      </c>
      <c r="AC76" s="783">
        <f t="shared" si="86"/>
        <v>3.6319612590799029E-2</v>
      </c>
      <c r="AD76" s="828"/>
      <c r="AE76" s="992"/>
      <c r="AF76" s="993"/>
      <c r="AG76" s="913"/>
      <c r="AH76" s="906"/>
      <c r="AI76" s="781"/>
      <c r="AJ76" s="782"/>
      <c r="AL76" s="232"/>
      <c r="AM76" s="233"/>
      <c r="AZ76" s="227"/>
    </row>
    <row r="77" spans="1:52" x14ac:dyDescent="0.3">
      <c r="A77" s="159"/>
      <c r="B77" s="231"/>
      <c r="C77" s="718" t="s">
        <v>600</v>
      </c>
      <c r="D77" s="784">
        <f>D75*D76</f>
        <v>0</v>
      </c>
      <c r="E77" s="785">
        <f t="shared" ref="E77:G77" si="87">E75*E76</f>
        <v>0</v>
      </c>
      <c r="F77" s="785">
        <f t="shared" si="87"/>
        <v>0</v>
      </c>
      <c r="G77" s="785">
        <f t="shared" si="87"/>
        <v>3</v>
      </c>
      <c r="H77" s="785"/>
      <c r="I77" s="785"/>
      <c r="J77" s="785"/>
      <c r="K77" s="785"/>
      <c r="L77" s="785">
        <f t="shared" ref="L77" si="88">L75*L76</f>
        <v>0.25</v>
      </c>
      <c r="M77" s="785"/>
      <c r="N77" s="785">
        <f t="shared" ref="N77" si="89">N75*N76</f>
        <v>0</v>
      </c>
      <c r="O77" s="785"/>
      <c r="P77" s="785">
        <f t="shared" ref="P77:AC77" si="90">P75*P76</f>
        <v>2</v>
      </c>
      <c r="Q77" s="785">
        <f t="shared" si="90"/>
        <v>0</v>
      </c>
      <c r="R77" s="785">
        <f t="shared" si="90"/>
        <v>13.133171912832932</v>
      </c>
      <c r="S77" s="785">
        <f t="shared" si="90"/>
        <v>3.6222760290556897</v>
      </c>
      <c r="T77" s="785">
        <f t="shared" si="90"/>
        <v>6.5665859564164659</v>
      </c>
      <c r="U77" s="785">
        <f t="shared" si="90"/>
        <v>0</v>
      </c>
      <c r="V77" s="785">
        <f t="shared" si="90"/>
        <v>1</v>
      </c>
      <c r="W77" s="785">
        <f t="shared" si="90"/>
        <v>0.30750605326876512</v>
      </c>
      <c r="X77" s="785">
        <f t="shared" si="90"/>
        <v>0</v>
      </c>
      <c r="Y77" s="785">
        <f t="shared" si="90"/>
        <v>7.3801452784503629</v>
      </c>
      <c r="Z77" s="785">
        <f t="shared" si="90"/>
        <v>1.8159806295399514E-2</v>
      </c>
      <c r="AA77" s="785">
        <f t="shared" si="90"/>
        <v>3.6319612590799029E-2</v>
      </c>
      <c r="AB77" s="785">
        <f t="shared" si="90"/>
        <v>0</v>
      </c>
      <c r="AC77" s="785">
        <f t="shared" si="90"/>
        <v>0</v>
      </c>
      <c r="AD77" s="829">
        <f>SUM(D77:AC77)</f>
        <v>37.314164648910413</v>
      </c>
      <c r="AE77" s="994"/>
      <c r="AF77" s="995"/>
      <c r="AG77" s="914"/>
      <c r="AH77" s="907"/>
      <c r="AI77" s="786"/>
      <c r="AJ77" s="787"/>
      <c r="AL77" s="232"/>
      <c r="AM77" s="233"/>
      <c r="AZ77" s="227"/>
    </row>
    <row r="78" spans="1:52" ht="42.6" customHeight="1" x14ac:dyDescent="0.3">
      <c r="A78" s="159">
        <f ca="1">OFFSET(A78,-3,0)+1</f>
        <v>23</v>
      </c>
      <c r="B78" s="981" t="str">
        <f t="shared" ref="B78" ca="1" si="91">"Meranie č. "&amp;A78</f>
        <v>Meranie č. 23</v>
      </c>
      <c r="C78" s="1014" t="s">
        <v>607</v>
      </c>
      <c r="D78" s="779">
        <v>0</v>
      </c>
      <c r="E78" s="737">
        <v>0</v>
      </c>
      <c r="F78" s="737">
        <v>0</v>
      </c>
      <c r="G78" s="737">
        <v>4</v>
      </c>
      <c r="H78" s="737" t="s">
        <v>568</v>
      </c>
      <c r="I78" s="737" t="s">
        <v>568</v>
      </c>
      <c r="J78" s="737" t="s">
        <v>568</v>
      </c>
      <c r="K78" s="737" t="s">
        <v>568</v>
      </c>
      <c r="L78" s="737">
        <v>0</v>
      </c>
      <c r="M78" s="737">
        <v>0</v>
      </c>
      <c r="N78" s="737">
        <v>0</v>
      </c>
      <c r="O78" s="737" t="s">
        <v>572</v>
      </c>
      <c r="P78" s="737">
        <v>1</v>
      </c>
      <c r="Q78" s="737">
        <v>0.5</v>
      </c>
      <c r="R78" s="737">
        <v>36</v>
      </c>
      <c r="S78" s="737">
        <v>1</v>
      </c>
      <c r="T78" s="737">
        <v>12</v>
      </c>
      <c r="U78" s="737">
        <v>8</v>
      </c>
      <c r="V78" s="737">
        <v>0.5</v>
      </c>
      <c r="W78" s="737">
        <v>0.5</v>
      </c>
      <c r="X78" s="737">
        <v>0</v>
      </c>
      <c r="Y78" s="737">
        <v>16</v>
      </c>
      <c r="Z78" s="737">
        <v>0.5</v>
      </c>
      <c r="AA78" s="737">
        <v>1</v>
      </c>
      <c r="AB78" s="737">
        <v>8</v>
      </c>
      <c r="AC78" s="737">
        <v>160</v>
      </c>
      <c r="AD78" s="827">
        <f>SUM(D78:AC78)</f>
        <v>249</v>
      </c>
      <c r="AE78" s="990"/>
      <c r="AF78" s="991"/>
      <c r="AG78" s="912"/>
      <c r="AH78" s="904"/>
      <c r="AI78" s="738"/>
      <c r="AJ78" s="759"/>
      <c r="AL78" s="232"/>
      <c r="AZ78" s="227"/>
    </row>
    <row r="79" spans="1:52" x14ac:dyDescent="0.3">
      <c r="A79" s="159"/>
      <c r="B79" s="734"/>
      <c r="C79" s="718" t="s">
        <v>532</v>
      </c>
      <c r="D79" s="780">
        <v>0</v>
      </c>
      <c r="E79" s="783">
        <v>0</v>
      </c>
      <c r="F79" s="783">
        <v>0</v>
      </c>
      <c r="G79" s="783">
        <v>1</v>
      </c>
      <c r="H79" s="783"/>
      <c r="I79" s="783"/>
      <c r="J79" s="783"/>
      <c r="K79" s="783"/>
      <c r="L79" s="783">
        <v>0</v>
      </c>
      <c r="M79" s="783"/>
      <c r="N79" s="783">
        <v>0</v>
      </c>
      <c r="O79" s="783"/>
      <c r="P79" s="783">
        <v>1</v>
      </c>
      <c r="Q79" s="783">
        <v>0</v>
      </c>
      <c r="R79" s="783">
        <f>AH80/AG80</f>
        <v>0.56730769230769229</v>
      </c>
      <c r="S79" s="783">
        <f>1-R79</f>
        <v>0.43269230769230771</v>
      </c>
      <c r="T79" s="783">
        <f>$R79</f>
        <v>0.56730769230769229</v>
      </c>
      <c r="U79" s="783">
        <f>$S79</f>
        <v>0.43269230769230771</v>
      </c>
      <c r="V79" s="783">
        <v>1</v>
      </c>
      <c r="W79" s="783">
        <f>AI80/AG80</f>
        <v>0.38461538461538464</v>
      </c>
      <c r="X79" s="783">
        <v>0</v>
      </c>
      <c r="Y79" s="783">
        <f>W79</f>
        <v>0.38461538461538464</v>
      </c>
      <c r="Z79" s="783">
        <f>AJ80/AG80</f>
        <v>4.807692307692308E-2</v>
      </c>
      <c r="AA79" s="783">
        <f>$Z79</f>
        <v>4.807692307692308E-2</v>
      </c>
      <c r="AB79" s="783">
        <f>$AA79</f>
        <v>4.807692307692308E-2</v>
      </c>
      <c r="AC79" s="783">
        <f>$AA79</f>
        <v>4.807692307692308E-2</v>
      </c>
      <c r="AD79" s="828"/>
      <c r="AE79" s="992"/>
      <c r="AF79" s="993"/>
      <c r="AG79" s="913"/>
      <c r="AH79" s="906"/>
      <c r="AI79" s="781"/>
      <c r="AJ79" s="782"/>
      <c r="AL79" s="232"/>
      <c r="AM79" s="233"/>
      <c r="AZ79" s="227"/>
    </row>
    <row r="80" spans="1:52" x14ac:dyDescent="0.3">
      <c r="A80" s="159"/>
      <c r="B80" s="231"/>
      <c r="C80" s="718" t="s">
        <v>600</v>
      </c>
      <c r="D80" s="784">
        <f>D78*D79</f>
        <v>0</v>
      </c>
      <c r="E80" s="785">
        <f t="shared" ref="E80:G80" si="92">E78*E79</f>
        <v>0</v>
      </c>
      <c r="F80" s="785">
        <f t="shared" si="92"/>
        <v>0</v>
      </c>
      <c r="G80" s="785">
        <f t="shared" si="92"/>
        <v>4</v>
      </c>
      <c r="H80" s="785"/>
      <c r="I80" s="785"/>
      <c r="J80" s="785"/>
      <c r="K80" s="785"/>
      <c r="L80" s="785">
        <f t="shared" ref="L80:N80" si="93">L78*L79</f>
        <v>0</v>
      </c>
      <c r="M80" s="785"/>
      <c r="N80" s="785">
        <f t="shared" si="93"/>
        <v>0</v>
      </c>
      <c r="O80" s="785"/>
      <c r="P80" s="785">
        <f t="shared" ref="P80:AC80" si="94">P78*P79</f>
        <v>1</v>
      </c>
      <c r="Q80" s="785">
        <f t="shared" si="94"/>
        <v>0</v>
      </c>
      <c r="R80" s="785">
        <f t="shared" si="94"/>
        <v>20.423076923076923</v>
      </c>
      <c r="S80" s="785">
        <f t="shared" si="94"/>
        <v>0.43269230769230771</v>
      </c>
      <c r="T80" s="785">
        <f t="shared" si="94"/>
        <v>6.8076923076923075</v>
      </c>
      <c r="U80" s="785">
        <f t="shared" si="94"/>
        <v>3.4615384615384617</v>
      </c>
      <c r="V80" s="785">
        <f t="shared" si="94"/>
        <v>0.5</v>
      </c>
      <c r="W80" s="785">
        <f t="shared" si="94"/>
        <v>0.19230769230769232</v>
      </c>
      <c r="X80" s="785">
        <f t="shared" si="94"/>
        <v>0</v>
      </c>
      <c r="Y80" s="785">
        <f t="shared" si="94"/>
        <v>6.1538461538461542</v>
      </c>
      <c r="Z80" s="785">
        <f t="shared" si="94"/>
        <v>2.403846153846154E-2</v>
      </c>
      <c r="AA80" s="785">
        <f t="shared" si="94"/>
        <v>4.807692307692308E-2</v>
      </c>
      <c r="AB80" s="785">
        <f t="shared" si="94"/>
        <v>0.38461538461538464</v>
      </c>
      <c r="AC80" s="785">
        <f t="shared" si="94"/>
        <v>7.6923076923076925</v>
      </c>
      <c r="AD80" s="829">
        <f>SUM(D80:AC80)</f>
        <v>51.120192307692307</v>
      </c>
      <c r="AE80" s="992">
        <v>104</v>
      </c>
      <c r="AF80" s="993">
        <v>0</v>
      </c>
      <c r="AG80" s="913">
        <f>SUM(AE80:AF80)</f>
        <v>104</v>
      </c>
      <c r="AH80" s="906">
        <v>59</v>
      </c>
      <c r="AI80" s="781">
        <v>40</v>
      </c>
      <c r="AJ80" s="782">
        <f>ROUND(20*AI80/AI$71,0)</f>
        <v>5</v>
      </c>
      <c r="AL80" s="232"/>
      <c r="AM80" s="233"/>
      <c r="AZ80" s="227"/>
    </row>
    <row r="81" spans="1:52" ht="42.6" customHeight="1" x14ac:dyDescent="0.3">
      <c r="A81" s="159">
        <f ca="1">OFFSET(A81,-3,0)+1</f>
        <v>24</v>
      </c>
      <c r="B81" s="736" t="str">
        <f t="shared" ref="B81" ca="1" si="95">"Meranie č. "&amp;A81</f>
        <v>Meranie č. 24</v>
      </c>
      <c r="C81" s="1014" t="s">
        <v>772</v>
      </c>
      <c r="D81" s="779">
        <v>0</v>
      </c>
      <c r="E81" s="737">
        <v>0</v>
      </c>
      <c r="F81" s="737">
        <v>0</v>
      </c>
      <c r="G81" s="737">
        <v>4</v>
      </c>
      <c r="H81" s="737" t="s">
        <v>568</v>
      </c>
      <c r="I81" s="737" t="s">
        <v>568</v>
      </c>
      <c r="J81" s="737" t="s">
        <v>568</v>
      </c>
      <c r="K81" s="737" t="s">
        <v>568</v>
      </c>
      <c r="L81" s="737">
        <v>1</v>
      </c>
      <c r="M81" s="737" t="s">
        <v>570</v>
      </c>
      <c r="N81" s="737">
        <v>0</v>
      </c>
      <c r="O81" s="737" t="s">
        <v>572</v>
      </c>
      <c r="P81" s="737">
        <v>3</v>
      </c>
      <c r="Q81" s="737">
        <v>8</v>
      </c>
      <c r="R81" s="737">
        <v>56</v>
      </c>
      <c r="S81" s="737">
        <v>32</v>
      </c>
      <c r="T81" s="737">
        <v>12</v>
      </c>
      <c r="U81" s="737">
        <v>8</v>
      </c>
      <c r="V81" s="737">
        <v>1</v>
      </c>
      <c r="W81" s="737">
        <v>1</v>
      </c>
      <c r="X81" s="737">
        <v>8</v>
      </c>
      <c r="Y81" s="737">
        <v>24</v>
      </c>
      <c r="Z81" s="737">
        <v>0.5</v>
      </c>
      <c r="AA81" s="737">
        <v>1</v>
      </c>
      <c r="AB81" s="737">
        <v>0</v>
      </c>
      <c r="AC81" s="737">
        <v>0</v>
      </c>
      <c r="AD81" s="827">
        <f>SUM(D81:AC81)</f>
        <v>159.5</v>
      </c>
      <c r="AE81" s="996"/>
      <c r="AF81" s="997"/>
      <c r="AG81" s="998"/>
      <c r="AH81" s="999"/>
      <c r="AI81" s="1000"/>
      <c r="AJ81" s="769"/>
      <c r="AL81" s="232"/>
      <c r="AZ81" s="227"/>
    </row>
    <row r="82" spans="1:52" x14ac:dyDescent="0.3">
      <c r="A82" s="159"/>
      <c r="B82" s="734"/>
      <c r="C82" s="718" t="s">
        <v>532</v>
      </c>
      <c r="D82" s="780">
        <v>0</v>
      </c>
      <c r="E82" s="783">
        <v>0</v>
      </c>
      <c r="F82" s="783">
        <v>0</v>
      </c>
      <c r="G82" s="783">
        <v>1</v>
      </c>
      <c r="H82" s="783"/>
      <c r="I82" s="783"/>
      <c r="J82" s="783"/>
      <c r="K82" s="783"/>
      <c r="L82" s="783">
        <v>0</v>
      </c>
      <c r="M82" s="783"/>
      <c r="N82" s="783">
        <v>0</v>
      </c>
      <c r="O82" s="783"/>
      <c r="P82" s="783">
        <v>1</v>
      </c>
      <c r="Q82" s="783">
        <v>0</v>
      </c>
      <c r="R82" s="783">
        <f t="shared" ref="R82:W82" si="96">R79</f>
        <v>0.56730769230769229</v>
      </c>
      <c r="S82" s="783">
        <f t="shared" si="96"/>
        <v>0.43269230769230771</v>
      </c>
      <c r="T82" s="783">
        <f t="shared" si="96"/>
        <v>0.56730769230769229</v>
      </c>
      <c r="U82" s="783">
        <f t="shared" si="96"/>
        <v>0.43269230769230771</v>
      </c>
      <c r="V82" s="783">
        <v>1</v>
      </c>
      <c r="W82" s="783">
        <f t="shared" si="96"/>
        <v>0.38461538461538464</v>
      </c>
      <c r="X82" s="783">
        <v>0</v>
      </c>
      <c r="Y82" s="783">
        <f>W82</f>
        <v>0.38461538461538464</v>
      </c>
      <c r="Z82" s="783">
        <f t="shared" ref="Z82:AC82" si="97">Z79</f>
        <v>4.807692307692308E-2</v>
      </c>
      <c r="AA82" s="783">
        <f t="shared" si="97"/>
        <v>4.807692307692308E-2</v>
      </c>
      <c r="AB82" s="783">
        <f t="shared" si="97"/>
        <v>4.807692307692308E-2</v>
      </c>
      <c r="AC82" s="783">
        <f t="shared" si="97"/>
        <v>4.807692307692308E-2</v>
      </c>
      <c r="AD82" s="828"/>
      <c r="AE82" s="992"/>
      <c r="AF82" s="993"/>
      <c r="AG82" s="913"/>
      <c r="AH82" s="906"/>
      <c r="AI82" s="781"/>
      <c r="AJ82" s="782"/>
      <c r="AL82" s="232"/>
      <c r="AM82" s="233"/>
      <c r="AZ82" s="227"/>
    </row>
    <row r="83" spans="1:52" x14ac:dyDescent="0.3">
      <c r="A83" s="159"/>
      <c r="B83" s="231"/>
      <c r="C83" s="718" t="s">
        <v>600</v>
      </c>
      <c r="D83" s="784">
        <f>D81*D82</f>
        <v>0</v>
      </c>
      <c r="E83" s="785">
        <f t="shared" ref="E83:G83" si="98">E81*E82</f>
        <v>0</v>
      </c>
      <c r="F83" s="785">
        <f t="shared" si="98"/>
        <v>0</v>
      </c>
      <c r="G83" s="785">
        <f t="shared" si="98"/>
        <v>4</v>
      </c>
      <c r="H83" s="785"/>
      <c r="I83" s="785"/>
      <c r="J83" s="785"/>
      <c r="K83" s="785"/>
      <c r="L83" s="785">
        <f t="shared" ref="L83:N83" si="99">L81*L82</f>
        <v>0</v>
      </c>
      <c r="M83" s="785"/>
      <c r="N83" s="785">
        <f t="shared" si="99"/>
        <v>0</v>
      </c>
      <c r="O83" s="785"/>
      <c r="P83" s="785">
        <f t="shared" ref="P83:AC83" si="100">P81*P82</f>
        <v>3</v>
      </c>
      <c r="Q83" s="785">
        <f t="shared" si="100"/>
        <v>0</v>
      </c>
      <c r="R83" s="785">
        <f t="shared" si="100"/>
        <v>31.769230769230766</v>
      </c>
      <c r="S83" s="785">
        <f t="shared" si="100"/>
        <v>13.846153846153847</v>
      </c>
      <c r="T83" s="785">
        <f t="shared" si="100"/>
        <v>6.8076923076923075</v>
      </c>
      <c r="U83" s="785">
        <f t="shared" si="100"/>
        <v>3.4615384615384617</v>
      </c>
      <c r="V83" s="785">
        <f t="shared" si="100"/>
        <v>1</v>
      </c>
      <c r="W83" s="785">
        <f t="shared" si="100"/>
        <v>0.38461538461538464</v>
      </c>
      <c r="X83" s="785">
        <f t="shared" si="100"/>
        <v>0</v>
      </c>
      <c r="Y83" s="785">
        <f t="shared" si="100"/>
        <v>9.2307692307692317</v>
      </c>
      <c r="Z83" s="785">
        <f t="shared" si="100"/>
        <v>2.403846153846154E-2</v>
      </c>
      <c r="AA83" s="785">
        <f t="shared" si="100"/>
        <v>4.807692307692308E-2</v>
      </c>
      <c r="AB83" s="785">
        <f t="shared" si="100"/>
        <v>0</v>
      </c>
      <c r="AC83" s="785">
        <f t="shared" si="100"/>
        <v>0</v>
      </c>
      <c r="AD83" s="829">
        <f>SUM(D83:AC83)</f>
        <v>73.572115384615373</v>
      </c>
      <c r="AE83" s="994"/>
      <c r="AF83" s="995"/>
      <c r="AG83" s="914"/>
      <c r="AH83" s="907"/>
      <c r="AI83" s="786"/>
      <c r="AJ83" s="787"/>
      <c r="AL83" s="232"/>
      <c r="AM83" s="233"/>
      <c r="AZ83" s="227"/>
    </row>
    <row r="84" spans="1:52" ht="15" thickBot="1" x14ac:dyDescent="0.35">
      <c r="A84" s="159"/>
      <c r="B84" s="811"/>
      <c r="C84" s="812" t="s">
        <v>601</v>
      </c>
      <c r="D84" s="813"/>
      <c r="E84" s="813"/>
      <c r="F84" s="813"/>
      <c r="G84" s="814"/>
      <c r="H84" s="814"/>
      <c r="I84" s="814"/>
      <c r="J84" s="814"/>
      <c r="K84" s="814"/>
      <c r="L84" s="814"/>
      <c r="M84" s="814"/>
      <c r="N84" s="814"/>
      <c r="O84" s="814"/>
      <c r="P84" s="814"/>
      <c r="Q84" s="814"/>
      <c r="R84" s="814"/>
      <c r="S84" s="814"/>
      <c r="T84" s="814"/>
      <c r="U84" s="814"/>
      <c r="V84" s="814"/>
      <c r="W84" s="814"/>
      <c r="X84" s="814"/>
      <c r="Y84" s="814"/>
      <c r="Z84" s="814"/>
      <c r="AA84" s="814"/>
      <c r="AB84" s="814"/>
      <c r="AC84" s="814"/>
      <c r="AD84" s="831"/>
      <c r="AE84" s="835">
        <f>517-SUM(AE72:AE83)</f>
        <v>0</v>
      </c>
      <c r="AF84" s="1001">
        <v>0</v>
      </c>
      <c r="AG84" s="1002">
        <f>SUM(AE84:AF84)</f>
        <v>0</v>
      </c>
      <c r="AH84" s="1003">
        <v>0</v>
      </c>
      <c r="AI84" s="1004">
        <f>ROUND(89*AH84/AH$48,0)</f>
        <v>0</v>
      </c>
      <c r="AJ84" s="1005">
        <f>ROUND(20*AI84/AI$71,0)</f>
        <v>0</v>
      </c>
    </row>
    <row r="85" spans="1:52" x14ac:dyDescent="0.3">
      <c r="A85" s="159"/>
      <c r="B85" s="725" t="s">
        <v>548</v>
      </c>
      <c r="C85" s="726" t="s">
        <v>536</v>
      </c>
      <c r="D85" s="730">
        <f t="shared" ref="D85:G85" si="101">D88*$AG88/($AG85-$AG101)+D91*$AG91/2/($AG85-$AG101)+D94*$AG91/2/($AG85-$AG101)+D97*$AG97/2/($AG85-$AG101)+D100*$AG97/2/($AG85-$AG101)</f>
        <v>0</v>
      </c>
      <c r="E85" s="730">
        <f t="shared" si="101"/>
        <v>10.107784431137723</v>
      </c>
      <c r="F85" s="730">
        <f t="shared" si="101"/>
        <v>5.6257485029940124</v>
      </c>
      <c r="G85" s="729">
        <f t="shared" si="101"/>
        <v>6.8023952095808387</v>
      </c>
      <c r="H85" s="799"/>
      <c r="I85" s="799"/>
      <c r="J85" s="799"/>
      <c r="K85" s="799"/>
      <c r="L85" s="729">
        <f t="shared" ref="L85:M85" si="102">L88*$AG88/($AG85-$AG101)+L91*$AG91/2/($AG85-$AG101)+L94*$AG91/2/($AG85-$AG101)+L97*$AG97/2/($AG85-$AG101)+L100*$AG97/2/($AG85-$AG101)</f>
        <v>3.8023952095808387</v>
      </c>
      <c r="M85" s="730">
        <f t="shared" si="102"/>
        <v>0</v>
      </c>
      <c r="N85" s="730"/>
      <c r="O85" s="730"/>
      <c r="P85" s="730">
        <f>P88*$AG88/($AG85-$AG101)+P91*$AG91/2/($AG85-$AG101)+P94*$AG91/2/($AG85-$AG101)+P97*$AG97/2/($AG85-$AG101)+P100*$AG97/2/($AG85-$AG101)</f>
        <v>4.9281437125748502</v>
      </c>
      <c r="Q85" s="730">
        <f t="shared" ref="Q85:AC85" si="103">Q88*$AG88/($AG85-$AG101)+Q91*$AG91/2/($AG85-$AG101)+Q94*$AG91/2/($AG85-$AG101)+Q97*$AG97/2/($AG85-$AG101)+Q100*$AG97/2/($AG85-$AG101)</f>
        <v>0</v>
      </c>
      <c r="R85" s="730">
        <f t="shared" si="103"/>
        <v>0.86227544910179643</v>
      </c>
      <c r="S85" s="730">
        <f t="shared" si="103"/>
        <v>8.3353293413173652</v>
      </c>
      <c r="T85" s="730">
        <f t="shared" si="103"/>
        <v>0.43113772455089822</v>
      </c>
      <c r="U85" s="730">
        <f t="shared" si="103"/>
        <v>2.1556886227544911</v>
      </c>
      <c r="V85" s="730">
        <f t="shared" si="103"/>
        <v>3.7543712574850301</v>
      </c>
      <c r="W85" s="730">
        <f t="shared" si="103"/>
        <v>0</v>
      </c>
      <c r="X85" s="730">
        <f t="shared" si="103"/>
        <v>0</v>
      </c>
      <c r="Y85" s="730">
        <f t="shared" si="103"/>
        <v>0</v>
      </c>
      <c r="Z85" s="730">
        <f t="shared" si="103"/>
        <v>0</v>
      </c>
      <c r="AA85" s="730">
        <f t="shared" si="103"/>
        <v>0</v>
      </c>
      <c r="AB85" s="730">
        <f t="shared" si="103"/>
        <v>0</v>
      </c>
      <c r="AC85" s="730">
        <f t="shared" si="103"/>
        <v>0</v>
      </c>
      <c r="AD85" s="832">
        <f>SUM(D85:AC85)</f>
        <v>46.805269461077842</v>
      </c>
      <c r="AE85" s="1006">
        <f t="shared" ref="AE85:AJ85" si="104">SUM(AE86:AE101)</f>
        <v>171</v>
      </c>
      <c r="AF85" s="1007">
        <f t="shared" si="104"/>
        <v>0</v>
      </c>
      <c r="AG85" s="915">
        <f t="shared" si="104"/>
        <v>171</v>
      </c>
      <c r="AH85" s="908">
        <f t="shared" si="104"/>
        <v>17</v>
      </c>
      <c r="AI85" s="732">
        <f t="shared" si="104"/>
        <v>0</v>
      </c>
      <c r="AJ85" s="758">
        <f t="shared" si="104"/>
        <v>0</v>
      </c>
      <c r="AL85" s="232"/>
      <c r="AM85"/>
      <c r="AZ85" s="227"/>
    </row>
    <row r="86" spans="1:52" ht="28.8" x14ac:dyDescent="0.3">
      <c r="A86" s="159">
        <f ca="1">OFFSET(A86,-5,0)+1</f>
        <v>25</v>
      </c>
      <c r="B86" s="736" t="str">
        <f ca="1">"Meranie č. "&amp;A86</f>
        <v>Meranie č. 25</v>
      </c>
      <c r="C86" s="1014" t="s">
        <v>608</v>
      </c>
      <c r="D86" s="779">
        <v>0</v>
      </c>
      <c r="E86" s="737">
        <v>40</v>
      </c>
      <c r="F86" s="737">
        <v>2.5</v>
      </c>
      <c r="G86" s="737">
        <v>16</v>
      </c>
      <c r="H86" s="737" t="s">
        <v>568</v>
      </c>
      <c r="I86" s="737" t="s">
        <v>568</v>
      </c>
      <c r="J86" s="737" t="s">
        <v>568</v>
      </c>
      <c r="K86" s="737" t="s">
        <v>568</v>
      </c>
      <c r="L86" s="737">
        <v>1</v>
      </c>
      <c r="M86" s="737">
        <v>0</v>
      </c>
      <c r="N86" s="737" t="s">
        <v>570</v>
      </c>
      <c r="O86" s="737" t="s">
        <v>572</v>
      </c>
      <c r="P86" s="737">
        <v>8</v>
      </c>
      <c r="Q86" s="737">
        <v>0</v>
      </c>
      <c r="R86" s="737">
        <v>16</v>
      </c>
      <c r="S86" s="737">
        <v>16</v>
      </c>
      <c r="T86" s="737">
        <v>8</v>
      </c>
      <c r="U86" s="737">
        <v>8</v>
      </c>
      <c r="V86" s="737">
        <v>0.5</v>
      </c>
      <c r="W86" s="737">
        <v>1</v>
      </c>
      <c r="X86" s="737">
        <v>0</v>
      </c>
      <c r="Y86" s="737">
        <v>16</v>
      </c>
      <c r="Z86" s="737">
        <v>1</v>
      </c>
      <c r="AA86" s="737">
        <v>1</v>
      </c>
      <c r="AB86" s="737">
        <v>8</v>
      </c>
      <c r="AC86" s="737">
        <v>160</v>
      </c>
      <c r="AD86" s="827">
        <f>SUM(D86:AC86)</f>
        <v>303</v>
      </c>
      <c r="AE86" s="990"/>
      <c r="AF86" s="991"/>
      <c r="AG86" s="912"/>
      <c r="AH86" s="904"/>
      <c r="AI86" s="738"/>
      <c r="AJ86" s="759"/>
      <c r="AL86" s="232"/>
      <c r="AZ86" s="227"/>
    </row>
    <row r="87" spans="1:52" x14ac:dyDescent="0.3">
      <c r="A87" s="159"/>
      <c r="B87" s="734"/>
      <c r="C87" s="718" t="s">
        <v>532</v>
      </c>
      <c r="D87" s="780">
        <v>0</v>
      </c>
      <c r="E87" s="783">
        <v>1</v>
      </c>
      <c r="F87" s="783">
        <v>1</v>
      </c>
      <c r="G87" s="783">
        <v>1</v>
      </c>
      <c r="H87" s="783"/>
      <c r="I87" s="783"/>
      <c r="J87" s="783"/>
      <c r="K87" s="783"/>
      <c r="L87" s="783">
        <v>1</v>
      </c>
      <c r="M87" s="783">
        <v>0</v>
      </c>
      <c r="N87" s="783"/>
      <c r="O87" s="783"/>
      <c r="P87" s="783">
        <v>1</v>
      </c>
      <c r="Q87" s="783">
        <v>0</v>
      </c>
      <c r="R87" s="783">
        <f>AH88/AG88</f>
        <v>9.0909090909090912E-2</v>
      </c>
      <c r="S87" s="783">
        <f>1-R87</f>
        <v>0.90909090909090906</v>
      </c>
      <c r="T87" s="783">
        <f>$R87</f>
        <v>9.0909090909090912E-2</v>
      </c>
      <c r="U87" s="783">
        <f>$S87</f>
        <v>0.90909090909090906</v>
      </c>
      <c r="V87" s="783">
        <v>1</v>
      </c>
      <c r="W87" s="783">
        <f>AI88/AG88</f>
        <v>0</v>
      </c>
      <c r="X87" s="783">
        <v>0</v>
      </c>
      <c r="Y87" s="783">
        <f>W87</f>
        <v>0</v>
      </c>
      <c r="Z87" s="783">
        <f>AJ88/AG88</f>
        <v>0</v>
      </c>
      <c r="AA87" s="783">
        <f>$Z87</f>
        <v>0</v>
      </c>
      <c r="AB87" s="783">
        <f>$AA87</f>
        <v>0</v>
      </c>
      <c r="AC87" s="783">
        <f>$AA87</f>
        <v>0</v>
      </c>
      <c r="AD87" s="828"/>
      <c r="AE87" s="992"/>
      <c r="AF87" s="993"/>
      <c r="AG87" s="913"/>
      <c r="AH87" s="906"/>
      <c r="AI87" s="781"/>
      <c r="AJ87" s="782"/>
      <c r="AL87" s="232"/>
      <c r="AM87" s="233"/>
      <c r="AZ87" s="227"/>
    </row>
    <row r="88" spans="1:52" x14ac:dyDescent="0.3">
      <c r="A88" s="159"/>
      <c r="B88" s="231"/>
      <c r="C88" s="718" t="s">
        <v>600</v>
      </c>
      <c r="D88" s="784">
        <f>D86*D87</f>
        <v>0</v>
      </c>
      <c r="E88" s="785">
        <f t="shared" ref="E88:G88" si="105">E86*E87</f>
        <v>40</v>
      </c>
      <c r="F88" s="785">
        <f t="shared" si="105"/>
        <v>2.5</v>
      </c>
      <c r="G88" s="785">
        <f t="shared" si="105"/>
        <v>16</v>
      </c>
      <c r="H88" s="785"/>
      <c r="I88" s="785"/>
      <c r="J88" s="785"/>
      <c r="K88" s="785"/>
      <c r="L88" s="785">
        <f t="shared" ref="L88:M88" si="106">L86*L87</f>
        <v>1</v>
      </c>
      <c r="M88" s="785">
        <f t="shared" si="106"/>
        <v>0</v>
      </c>
      <c r="N88" s="785"/>
      <c r="O88" s="785"/>
      <c r="P88" s="785">
        <f t="shared" ref="P88:AC88" si="107">P86*P87</f>
        <v>8</v>
      </c>
      <c r="Q88" s="785">
        <f t="shared" si="107"/>
        <v>0</v>
      </c>
      <c r="R88" s="785">
        <f t="shared" si="107"/>
        <v>1.4545454545454546</v>
      </c>
      <c r="S88" s="785">
        <f t="shared" si="107"/>
        <v>14.545454545454545</v>
      </c>
      <c r="T88" s="785">
        <f t="shared" si="107"/>
        <v>0.72727272727272729</v>
      </c>
      <c r="U88" s="785">
        <f t="shared" si="107"/>
        <v>7.2727272727272725</v>
      </c>
      <c r="V88" s="785">
        <f t="shared" si="107"/>
        <v>0.5</v>
      </c>
      <c r="W88" s="785">
        <f t="shared" si="107"/>
        <v>0</v>
      </c>
      <c r="X88" s="785">
        <f t="shared" si="107"/>
        <v>0</v>
      </c>
      <c r="Y88" s="785">
        <f t="shared" si="107"/>
        <v>0</v>
      </c>
      <c r="Z88" s="785">
        <f t="shared" si="107"/>
        <v>0</v>
      </c>
      <c r="AA88" s="785">
        <f t="shared" si="107"/>
        <v>0</v>
      </c>
      <c r="AB88" s="785">
        <f t="shared" si="107"/>
        <v>0</v>
      </c>
      <c r="AC88" s="785">
        <f t="shared" si="107"/>
        <v>0</v>
      </c>
      <c r="AD88" s="829">
        <f>SUM(D88:AC88)</f>
        <v>92</v>
      </c>
      <c r="AE88" s="994">
        <v>11</v>
      </c>
      <c r="AF88" s="995">
        <v>0</v>
      </c>
      <c r="AG88" s="914">
        <f>SUM(AE88:AF88)</f>
        <v>11</v>
      </c>
      <c r="AH88" s="907">
        <v>1</v>
      </c>
      <c r="AI88" s="786">
        <v>0</v>
      </c>
      <c r="AJ88" s="787">
        <v>0</v>
      </c>
      <c r="AL88" s="232"/>
      <c r="AM88" s="233"/>
      <c r="AZ88" s="227"/>
    </row>
    <row r="89" spans="1:52" ht="28.8" x14ac:dyDescent="0.3">
      <c r="A89" s="159">
        <f ca="1">OFFSET(A89,-3,0)+1</f>
        <v>26</v>
      </c>
      <c r="B89" s="981" t="str">
        <f t="shared" ref="B89" ca="1" si="108">"Meranie č. "&amp;A89</f>
        <v>Meranie č. 26</v>
      </c>
      <c r="C89" s="1014" t="s">
        <v>619</v>
      </c>
      <c r="D89" s="779">
        <v>0</v>
      </c>
      <c r="E89" s="737">
        <v>8</v>
      </c>
      <c r="F89" s="737">
        <v>8</v>
      </c>
      <c r="G89" s="737">
        <v>4</v>
      </c>
      <c r="H89" s="737" t="s">
        <v>568</v>
      </c>
      <c r="I89" s="737" t="s">
        <v>568</v>
      </c>
      <c r="J89" s="737" t="s">
        <v>568</v>
      </c>
      <c r="K89" s="737" t="s">
        <v>568</v>
      </c>
      <c r="L89" s="737">
        <v>4</v>
      </c>
      <c r="M89" s="737">
        <v>0</v>
      </c>
      <c r="N89" s="737">
        <v>0</v>
      </c>
      <c r="O89" s="737" t="s">
        <v>572</v>
      </c>
      <c r="P89" s="737">
        <v>3</v>
      </c>
      <c r="Q89" s="737">
        <v>0</v>
      </c>
      <c r="R89" s="737">
        <v>16</v>
      </c>
      <c r="S89" s="737">
        <v>4</v>
      </c>
      <c r="T89" s="737">
        <v>8</v>
      </c>
      <c r="U89" s="737">
        <v>4</v>
      </c>
      <c r="V89" s="737">
        <v>4</v>
      </c>
      <c r="W89" s="737">
        <v>1</v>
      </c>
      <c r="X89" s="737">
        <v>8</v>
      </c>
      <c r="Y89" s="737">
        <v>24</v>
      </c>
      <c r="Z89" s="737">
        <v>2</v>
      </c>
      <c r="AA89" s="737">
        <v>4</v>
      </c>
      <c r="AB89" s="737">
        <v>8</v>
      </c>
      <c r="AC89" s="737">
        <v>40</v>
      </c>
      <c r="AD89" s="827">
        <f>SUM(D89:AC89)</f>
        <v>150</v>
      </c>
      <c r="AE89" s="990"/>
      <c r="AF89" s="991"/>
      <c r="AG89" s="912"/>
      <c r="AH89" s="904"/>
      <c r="AI89" s="738"/>
      <c r="AJ89" s="759"/>
      <c r="AL89" s="232"/>
      <c r="AZ89" s="227"/>
    </row>
    <row r="90" spans="1:52" x14ac:dyDescent="0.3">
      <c r="A90" s="159"/>
      <c r="B90" s="734"/>
      <c r="C90" s="718" t="s">
        <v>532</v>
      </c>
      <c r="D90" s="780">
        <v>0</v>
      </c>
      <c r="E90" s="783">
        <v>1</v>
      </c>
      <c r="F90" s="783">
        <v>1</v>
      </c>
      <c r="G90" s="783">
        <v>1</v>
      </c>
      <c r="H90" s="783"/>
      <c r="I90" s="783"/>
      <c r="J90" s="783"/>
      <c r="K90" s="783"/>
      <c r="L90" s="783">
        <v>1</v>
      </c>
      <c r="M90" s="783">
        <v>0</v>
      </c>
      <c r="N90" s="783"/>
      <c r="O90" s="783"/>
      <c r="P90" s="783">
        <v>1</v>
      </c>
      <c r="Q90" s="783">
        <v>0</v>
      </c>
      <c r="R90" s="783">
        <f>AH91/AG91</f>
        <v>0.14035087719298245</v>
      </c>
      <c r="S90" s="783">
        <f>1-R90</f>
        <v>0.85964912280701755</v>
      </c>
      <c r="T90" s="783">
        <f>$R90</f>
        <v>0.14035087719298245</v>
      </c>
      <c r="U90" s="783">
        <f>$S90</f>
        <v>0.85964912280701755</v>
      </c>
      <c r="V90" s="783">
        <v>1</v>
      </c>
      <c r="W90" s="783">
        <f>AI91/AG91</f>
        <v>0</v>
      </c>
      <c r="X90" s="783">
        <v>0</v>
      </c>
      <c r="Y90" s="783">
        <f>W90</f>
        <v>0</v>
      </c>
      <c r="Z90" s="783">
        <f>AJ91/AG91</f>
        <v>0</v>
      </c>
      <c r="AA90" s="783">
        <f>$Z90</f>
        <v>0</v>
      </c>
      <c r="AB90" s="783">
        <f>$AA90</f>
        <v>0</v>
      </c>
      <c r="AC90" s="783">
        <f>$AA90</f>
        <v>0</v>
      </c>
      <c r="AD90" s="828"/>
      <c r="AE90" s="992"/>
      <c r="AF90" s="993"/>
      <c r="AG90" s="913"/>
      <c r="AH90" s="906"/>
      <c r="AI90" s="781"/>
      <c r="AJ90" s="782"/>
      <c r="AL90" s="232"/>
      <c r="AM90" s="233"/>
      <c r="AZ90" s="227"/>
    </row>
    <row r="91" spans="1:52" x14ac:dyDescent="0.3">
      <c r="A91" s="159"/>
      <c r="B91" s="231"/>
      <c r="C91" s="718" t="s">
        <v>600</v>
      </c>
      <c r="D91" s="784">
        <f>D89*D90</f>
        <v>0</v>
      </c>
      <c r="E91" s="785">
        <f t="shared" ref="E91:G91" si="109">E89*E90</f>
        <v>8</v>
      </c>
      <c r="F91" s="785">
        <f t="shared" si="109"/>
        <v>8</v>
      </c>
      <c r="G91" s="785">
        <f t="shared" si="109"/>
        <v>4</v>
      </c>
      <c r="H91" s="785"/>
      <c r="I91" s="785"/>
      <c r="J91" s="785"/>
      <c r="K91" s="785"/>
      <c r="L91" s="785">
        <f t="shared" ref="L91:M91" si="110">L89*L90</f>
        <v>4</v>
      </c>
      <c r="M91" s="785">
        <f t="shared" si="110"/>
        <v>0</v>
      </c>
      <c r="N91" s="785"/>
      <c r="O91" s="785"/>
      <c r="P91" s="785">
        <f t="shared" ref="P91:AC91" si="111">P89*P90</f>
        <v>3</v>
      </c>
      <c r="Q91" s="785">
        <f t="shared" si="111"/>
        <v>0</v>
      </c>
      <c r="R91" s="785">
        <f t="shared" si="111"/>
        <v>2.2456140350877192</v>
      </c>
      <c r="S91" s="785">
        <f t="shared" si="111"/>
        <v>3.4385964912280702</v>
      </c>
      <c r="T91" s="785">
        <f t="shared" si="111"/>
        <v>1.1228070175438596</v>
      </c>
      <c r="U91" s="785">
        <f t="shared" si="111"/>
        <v>3.4385964912280702</v>
      </c>
      <c r="V91" s="785">
        <f t="shared" si="111"/>
        <v>4</v>
      </c>
      <c r="W91" s="785">
        <f t="shared" si="111"/>
        <v>0</v>
      </c>
      <c r="X91" s="785">
        <f t="shared" si="111"/>
        <v>0</v>
      </c>
      <c r="Y91" s="785">
        <f t="shared" si="111"/>
        <v>0</v>
      </c>
      <c r="Z91" s="785">
        <f t="shared" si="111"/>
        <v>0</v>
      </c>
      <c r="AA91" s="785">
        <f t="shared" si="111"/>
        <v>0</v>
      </c>
      <c r="AB91" s="785">
        <f t="shared" si="111"/>
        <v>0</v>
      </c>
      <c r="AC91" s="785">
        <f t="shared" si="111"/>
        <v>0</v>
      </c>
      <c r="AD91" s="829">
        <f>SUM(D91:AC91)</f>
        <v>41.245614035087712</v>
      </c>
      <c r="AE91" s="992">
        <v>114</v>
      </c>
      <c r="AF91" s="993">
        <v>0</v>
      </c>
      <c r="AG91" s="913">
        <f>SUM(AE91:AF91)</f>
        <v>114</v>
      </c>
      <c r="AH91" s="906">
        <v>16</v>
      </c>
      <c r="AI91" s="781">
        <v>0</v>
      </c>
      <c r="AJ91" s="782">
        <v>0</v>
      </c>
      <c r="AL91" s="232"/>
      <c r="AM91" s="233"/>
      <c r="AZ91" s="227"/>
    </row>
    <row r="92" spans="1:52" ht="28.8" x14ac:dyDescent="0.3">
      <c r="A92" s="159">
        <f ca="1">OFFSET(A92,-3,0)+1</f>
        <v>27</v>
      </c>
      <c r="B92" s="981" t="str">
        <f t="shared" ref="B92" ca="1" si="112">"Meranie č. "&amp;A92</f>
        <v>Meranie č. 27</v>
      </c>
      <c r="C92" s="1014" t="s">
        <v>773</v>
      </c>
      <c r="D92" s="779">
        <v>0</v>
      </c>
      <c r="E92" s="737">
        <v>8</v>
      </c>
      <c r="F92" s="737">
        <v>8</v>
      </c>
      <c r="G92" s="737">
        <v>4</v>
      </c>
      <c r="H92" s="737" t="s">
        <v>568</v>
      </c>
      <c r="I92" s="737" t="s">
        <v>568</v>
      </c>
      <c r="J92" s="737" t="s">
        <v>568</v>
      </c>
      <c r="K92" s="737" t="s">
        <v>568</v>
      </c>
      <c r="L92" s="737">
        <v>4</v>
      </c>
      <c r="M92" s="737">
        <v>8</v>
      </c>
      <c r="N92" s="737">
        <v>8</v>
      </c>
      <c r="O92" s="737" t="s">
        <v>572</v>
      </c>
      <c r="P92" s="737">
        <v>4</v>
      </c>
      <c r="Q92" s="737">
        <v>4</v>
      </c>
      <c r="R92" s="737">
        <v>0</v>
      </c>
      <c r="S92" s="737">
        <v>16</v>
      </c>
      <c r="T92" s="737">
        <v>0</v>
      </c>
      <c r="U92" s="737">
        <v>0</v>
      </c>
      <c r="V92" s="737">
        <v>4</v>
      </c>
      <c r="W92" s="737">
        <v>0</v>
      </c>
      <c r="X92" s="737">
        <v>0</v>
      </c>
      <c r="Y92" s="737">
        <v>0</v>
      </c>
      <c r="Z92" s="737">
        <v>0</v>
      </c>
      <c r="AA92" s="737">
        <v>0</v>
      </c>
      <c r="AB92" s="737">
        <v>0</v>
      </c>
      <c r="AC92" s="737">
        <v>0</v>
      </c>
      <c r="AD92" s="827">
        <f>SUM(D92:AC92)</f>
        <v>68</v>
      </c>
      <c r="AE92" s="996"/>
      <c r="AF92" s="997"/>
      <c r="AG92" s="998"/>
      <c r="AH92" s="999"/>
      <c r="AI92" s="1000"/>
      <c r="AJ92" s="769"/>
      <c r="AL92" s="232"/>
      <c r="AZ92" s="227"/>
    </row>
    <row r="93" spans="1:52" x14ac:dyDescent="0.3">
      <c r="A93" s="159"/>
      <c r="B93" s="734"/>
      <c r="C93" s="718" t="s">
        <v>532</v>
      </c>
      <c r="D93" s="780">
        <v>0</v>
      </c>
      <c r="E93" s="783">
        <v>1</v>
      </c>
      <c r="F93" s="783">
        <v>1</v>
      </c>
      <c r="G93" s="783">
        <v>1</v>
      </c>
      <c r="H93" s="783"/>
      <c r="I93" s="783"/>
      <c r="J93" s="783"/>
      <c r="K93" s="783"/>
      <c r="L93" s="783">
        <v>1</v>
      </c>
      <c r="M93" s="783">
        <v>0</v>
      </c>
      <c r="N93" s="783"/>
      <c r="O93" s="783"/>
      <c r="P93" s="783">
        <v>1</v>
      </c>
      <c r="Q93" s="783">
        <v>0</v>
      </c>
      <c r="R93" s="783">
        <f>AH91/AG91</f>
        <v>0.14035087719298245</v>
      </c>
      <c r="S93" s="783">
        <f>1-R93</f>
        <v>0.85964912280701755</v>
      </c>
      <c r="T93" s="783">
        <f>$R93</f>
        <v>0.14035087719298245</v>
      </c>
      <c r="U93" s="783">
        <f>$S93</f>
        <v>0.85964912280701755</v>
      </c>
      <c r="V93" s="783">
        <v>1</v>
      </c>
      <c r="W93" s="783">
        <f>AI91/AG91</f>
        <v>0</v>
      </c>
      <c r="X93" s="783">
        <v>0</v>
      </c>
      <c r="Y93" s="783">
        <f>W93</f>
        <v>0</v>
      </c>
      <c r="Z93" s="783">
        <f>AJ91/AG91</f>
        <v>0</v>
      </c>
      <c r="AA93" s="783">
        <f>$Z93</f>
        <v>0</v>
      </c>
      <c r="AB93" s="783">
        <f>$AA93</f>
        <v>0</v>
      </c>
      <c r="AC93" s="783">
        <f>$AA93</f>
        <v>0</v>
      </c>
      <c r="AD93" s="828"/>
      <c r="AE93" s="992"/>
      <c r="AF93" s="993"/>
      <c r="AG93" s="913"/>
      <c r="AH93" s="906"/>
      <c r="AI93" s="781"/>
      <c r="AJ93" s="782"/>
      <c r="AL93" s="232"/>
      <c r="AM93" s="233"/>
      <c r="AZ93" s="227"/>
    </row>
    <row r="94" spans="1:52" x14ac:dyDescent="0.3">
      <c r="A94" s="159"/>
      <c r="B94" s="231"/>
      <c r="C94" s="718" t="s">
        <v>600</v>
      </c>
      <c r="D94" s="784">
        <f>D92*D93</f>
        <v>0</v>
      </c>
      <c r="E94" s="785">
        <f t="shared" ref="E94:G94" si="113">E92*E93</f>
        <v>8</v>
      </c>
      <c r="F94" s="785">
        <f t="shared" si="113"/>
        <v>8</v>
      </c>
      <c r="G94" s="785">
        <f t="shared" si="113"/>
        <v>4</v>
      </c>
      <c r="H94" s="785"/>
      <c r="I94" s="785"/>
      <c r="J94" s="785"/>
      <c r="K94" s="785"/>
      <c r="L94" s="785">
        <f t="shared" ref="L94:M94" si="114">L92*L93</f>
        <v>4</v>
      </c>
      <c r="M94" s="785">
        <f t="shared" si="114"/>
        <v>0</v>
      </c>
      <c r="N94" s="785"/>
      <c r="O94" s="785"/>
      <c r="P94" s="785">
        <f t="shared" ref="P94:AC94" si="115">P92*P93</f>
        <v>4</v>
      </c>
      <c r="Q94" s="785">
        <f t="shared" si="115"/>
        <v>0</v>
      </c>
      <c r="R94" s="785">
        <f t="shared" si="115"/>
        <v>0</v>
      </c>
      <c r="S94" s="785">
        <f t="shared" si="115"/>
        <v>13.754385964912281</v>
      </c>
      <c r="T94" s="785">
        <f t="shared" si="115"/>
        <v>0</v>
      </c>
      <c r="U94" s="785">
        <f t="shared" si="115"/>
        <v>0</v>
      </c>
      <c r="V94" s="785">
        <f t="shared" si="115"/>
        <v>4</v>
      </c>
      <c r="W94" s="785">
        <f t="shared" si="115"/>
        <v>0</v>
      </c>
      <c r="X94" s="785">
        <f t="shared" si="115"/>
        <v>0</v>
      </c>
      <c r="Y94" s="785">
        <f t="shared" si="115"/>
        <v>0</v>
      </c>
      <c r="Z94" s="785">
        <f t="shared" si="115"/>
        <v>0</v>
      </c>
      <c r="AA94" s="785">
        <f t="shared" si="115"/>
        <v>0</v>
      </c>
      <c r="AB94" s="785">
        <f t="shared" si="115"/>
        <v>0</v>
      </c>
      <c r="AC94" s="785">
        <f t="shared" si="115"/>
        <v>0</v>
      </c>
      <c r="AD94" s="829">
        <f>SUM(D94:AC94)</f>
        <v>45.754385964912281</v>
      </c>
      <c r="AE94" s="994"/>
      <c r="AF94" s="995"/>
      <c r="AG94" s="914"/>
      <c r="AH94" s="907"/>
      <c r="AI94" s="786"/>
      <c r="AJ94" s="787"/>
      <c r="AL94" s="232"/>
      <c r="AM94" s="233"/>
      <c r="AZ94" s="227"/>
    </row>
    <row r="95" spans="1:52" ht="28.8" x14ac:dyDescent="0.3">
      <c r="A95" s="159">
        <f ca="1">OFFSET(A95,-3,0)+1</f>
        <v>28</v>
      </c>
      <c r="B95" s="736" t="str">
        <f t="shared" ref="B95" ca="1" si="116">"Meranie č. "&amp;A95</f>
        <v>Meranie č. 28</v>
      </c>
      <c r="C95" s="1014" t="s">
        <v>620</v>
      </c>
      <c r="D95" s="779">
        <v>0</v>
      </c>
      <c r="E95" s="737">
        <v>8</v>
      </c>
      <c r="F95" s="737">
        <v>0</v>
      </c>
      <c r="G95" s="737">
        <v>12</v>
      </c>
      <c r="H95" s="737" t="s">
        <v>568</v>
      </c>
      <c r="I95" s="737" t="s">
        <v>568</v>
      </c>
      <c r="J95" s="737" t="s">
        <v>568</v>
      </c>
      <c r="K95" s="737">
        <v>24</v>
      </c>
      <c r="L95" s="737">
        <v>4</v>
      </c>
      <c r="M95" s="737">
        <v>0</v>
      </c>
      <c r="N95" s="737">
        <v>0</v>
      </c>
      <c r="O95" s="737" t="s">
        <v>572</v>
      </c>
      <c r="P95" s="737">
        <v>8</v>
      </c>
      <c r="Q95" s="737">
        <v>2</v>
      </c>
      <c r="R95" s="737">
        <v>16</v>
      </c>
      <c r="S95" s="737">
        <v>4</v>
      </c>
      <c r="T95" s="737">
        <v>8</v>
      </c>
      <c r="U95" s="737">
        <v>4</v>
      </c>
      <c r="V95" s="737">
        <v>4</v>
      </c>
      <c r="W95" s="737">
        <v>1</v>
      </c>
      <c r="X95" s="737">
        <v>8</v>
      </c>
      <c r="Y95" s="737">
        <v>24</v>
      </c>
      <c r="Z95" s="737">
        <v>2</v>
      </c>
      <c r="AA95" s="737">
        <v>4</v>
      </c>
      <c r="AB95" s="737">
        <v>8</v>
      </c>
      <c r="AC95" s="737">
        <v>40</v>
      </c>
      <c r="AD95" s="827">
        <f>SUM(D95:AC95)</f>
        <v>181</v>
      </c>
      <c r="AE95" s="990"/>
      <c r="AF95" s="991"/>
      <c r="AG95" s="912"/>
      <c r="AH95" s="904"/>
      <c r="AI95" s="738"/>
      <c r="AJ95" s="759"/>
      <c r="AL95" s="232"/>
      <c r="AZ95" s="227"/>
    </row>
    <row r="96" spans="1:52" x14ac:dyDescent="0.3">
      <c r="A96" s="159"/>
      <c r="B96" s="734"/>
      <c r="C96" s="718" t="s">
        <v>532</v>
      </c>
      <c r="D96" s="780">
        <v>0</v>
      </c>
      <c r="E96" s="783">
        <v>1</v>
      </c>
      <c r="F96" s="783">
        <v>1</v>
      </c>
      <c r="G96" s="783">
        <v>1</v>
      </c>
      <c r="H96" s="783"/>
      <c r="I96" s="783"/>
      <c r="J96" s="783"/>
      <c r="K96" s="783"/>
      <c r="L96" s="783">
        <v>1</v>
      </c>
      <c r="M96" s="783">
        <v>0</v>
      </c>
      <c r="N96" s="783"/>
      <c r="O96" s="783"/>
      <c r="P96" s="783">
        <v>1</v>
      </c>
      <c r="Q96" s="783">
        <v>0</v>
      </c>
      <c r="R96" s="783">
        <f>AH97/AG97</f>
        <v>0</v>
      </c>
      <c r="S96" s="783">
        <f>1-R96</f>
        <v>1</v>
      </c>
      <c r="T96" s="783">
        <f>$R96</f>
        <v>0</v>
      </c>
      <c r="U96" s="783">
        <f>$S96</f>
        <v>1</v>
      </c>
      <c r="V96" s="783">
        <v>1</v>
      </c>
      <c r="W96" s="783">
        <f>AI97/AG97</f>
        <v>0</v>
      </c>
      <c r="X96" s="783">
        <v>0</v>
      </c>
      <c r="Y96" s="783">
        <f>W96</f>
        <v>0</v>
      </c>
      <c r="Z96" s="783">
        <f>AJ97/AG97</f>
        <v>0</v>
      </c>
      <c r="AA96" s="783">
        <f>$Z96</f>
        <v>0</v>
      </c>
      <c r="AB96" s="783">
        <f>$AA96</f>
        <v>0</v>
      </c>
      <c r="AC96" s="783">
        <f>$AA96</f>
        <v>0</v>
      </c>
      <c r="AD96" s="828"/>
      <c r="AE96" s="992"/>
      <c r="AF96" s="993"/>
      <c r="AG96" s="913"/>
      <c r="AH96" s="906"/>
      <c r="AI96" s="781"/>
      <c r="AJ96" s="782"/>
      <c r="AL96" s="232"/>
      <c r="AM96" s="233"/>
      <c r="AZ96" s="227"/>
    </row>
    <row r="97" spans="1:52" x14ac:dyDescent="0.3">
      <c r="A97" s="159"/>
      <c r="B97" s="231"/>
      <c r="C97" s="718" t="s">
        <v>600</v>
      </c>
      <c r="D97" s="784">
        <f>D95*D96</f>
        <v>0</v>
      </c>
      <c r="E97" s="785">
        <f t="shared" ref="E97:G97" si="117">E95*E96</f>
        <v>8</v>
      </c>
      <c r="F97" s="785">
        <f t="shared" si="117"/>
        <v>0</v>
      </c>
      <c r="G97" s="785">
        <f t="shared" si="117"/>
        <v>12</v>
      </c>
      <c r="H97" s="785"/>
      <c r="I97" s="785"/>
      <c r="J97" s="785"/>
      <c r="K97" s="785"/>
      <c r="L97" s="785">
        <f t="shared" ref="L97:M97" si="118">L95*L96</f>
        <v>4</v>
      </c>
      <c r="M97" s="785">
        <f t="shared" si="118"/>
        <v>0</v>
      </c>
      <c r="N97" s="785"/>
      <c r="O97" s="785"/>
      <c r="P97" s="785">
        <f t="shared" ref="P97:AC97" si="119">P95*P96</f>
        <v>8</v>
      </c>
      <c r="Q97" s="785">
        <f t="shared" si="119"/>
        <v>0</v>
      </c>
      <c r="R97" s="785">
        <f t="shared" si="119"/>
        <v>0</v>
      </c>
      <c r="S97" s="785">
        <f t="shared" si="119"/>
        <v>4</v>
      </c>
      <c r="T97" s="785">
        <f t="shared" si="119"/>
        <v>0</v>
      </c>
      <c r="U97" s="785">
        <f t="shared" si="119"/>
        <v>4</v>
      </c>
      <c r="V97" s="785">
        <f t="shared" si="119"/>
        <v>4</v>
      </c>
      <c r="W97" s="785">
        <f t="shared" si="119"/>
        <v>0</v>
      </c>
      <c r="X97" s="785">
        <f t="shared" si="119"/>
        <v>0</v>
      </c>
      <c r="Y97" s="785">
        <f t="shared" si="119"/>
        <v>0</v>
      </c>
      <c r="Z97" s="785">
        <f t="shared" si="119"/>
        <v>0</v>
      </c>
      <c r="AA97" s="785">
        <f t="shared" si="119"/>
        <v>0</v>
      </c>
      <c r="AB97" s="785">
        <f t="shared" si="119"/>
        <v>0</v>
      </c>
      <c r="AC97" s="785">
        <f t="shared" si="119"/>
        <v>0</v>
      </c>
      <c r="AD97" s="829">
        <f>SUM(D97:AC97)</f>
        <v>44</v>
      </c>
      <c r="AE97" s="992">
        <v>42</v>
      </c>
      <c r="AF97" s="993">
        <v>0</v>
      </c>
      <c r="AG97" s="913">
        <f>SUM(AE97:AF97)</f>
        <v>42</v>
      </c>
      <c r="AH97" s="906">
        <v>0</v>
      </c>
      <c r="AI97" s="781">
        <f>ROUND(89*AH97/AH$48,0)</f>
        <v>0</v>
      </c>
      <c r="AJ97" s="782">
        <v>0</v>
      </c>
      <c r="AL97" s="232"/>
      <c r="AM97" s="233"/>
      <c r="AZ97" s="227"/>
    </row>
    <row r="98" spans="1:52" ht="28.8" x14ac:dyDescent="0.3">
      <c r="A98" s="159">
        <f ca="1">OFFSET(A98,-3,0)+1</f>
        <v>29</v>
      </c>
      <c r="B98" s="736" t="str">
        <f t="shared" ref="B98" ca="1" si="120">"Meranie č. "&amp;A98</f>
        <v>Meranie č. 29</v>
      </c>
      <c r="C98" s="1014" t="s">
        <v>774</v>
      </c>
      <c r="D98" s="779">
        <v>0</v>
      </c>
      <c r="E98" s="737">
        <v>8</v>
      </c>
      <c r="F98" s="737">
        <v>0</v>
      </c>
      <c r="G98" s="737">
        <v>12</v>
      </c>
      <c r="H98" s="737" t="s">
        <v>568</v>
      </c>
      <c r="I98" s="737" t="s">
        <v>568</v>
      </c>
      <c r="J98" s="737" t="s">
        <v>568</v>
      </c>
      <c r="K98" s="737">
        <v>24</v>
      </c>
      <c r="L98" s="737">
        <v>4</v>
      </c>
      <c r="M98" s="737">
        <v>8</v>
      </c>
      <c r="N98" s="737">
        <v>0</v>
      </c>
      <c r="O98" s="737" t="s">
        <v>572</v>
      </c>
      <c r="P98" s="737">
        <v>8</v>
      </c>
      <c r="Q98" s="737">
        <v>2</v>
      </c>
      <c r="R98" s="737">
        <v>0</v>
      </c>
      <c r="S98" s="737">
        <v>8</v>
      </c>
      <c r="T98" s="737">
        <v>0</v>
      </c>
      <c r="U98" s="737">
        <v>0</v>
      </c>
      <c r="V98" s="737">
        <v>4</v>
      </c>
      <c r="W98" s="737">
        <v>0</v>
      </c>
      <c r="X98" s="737">
        <v>0</v>
      </c>
      <c r="Y98" s="737">
        <v>0</v>
      </c>
      <c r="Z98" s="737">
        <v>0</v>
      </c>
      <c r="AA98" s="737">
        <v>4</v>
      </c>
      <c r="AB98" s="737">
        <v>0</v>
      </c>
      <c r="AC98" s="737">
        <v>0</v>
      </c>
      <c r="AD98" s="827">
        <f>SUM(D98:AC98)</f>
        <v>82</v>
      </c>
      <c r="AE98" s="996"/>
      <c r="AF98" s="997"/>
      <c r="AG98" s="998"/>
      <c r="AH98" s="999"/>
      <c r="AI98" s="1000"/>
      <c r="AJ98" s="769"/>
      <c r="AL98" s="232"/>
      <c r="AZ98" s="227"/>
    </row>
    <row r="99" spans="1:52" x14ac:dyDescent="0.3">
      <c r="A99" s="159"/>
      <c r="B99" s="734"/>
      <c r="C99" s="718" t="s">
        <v>532</v>
      </c>
      <c r="D99" s="780">
        <v>0</v>
      </c>
      <c r="E99" s="783">
        <v>1</v>
      </c>
      <c r="F99" s="783">
        <v>1</v>
      </c>
      <c r="G99" s="783">
        <v>1</v>
      </c>
      <c r="H99" s="783"/>
      <c r="I99" s="783"/>
      <c r="J99" s="783"/>
      <c r="K99" s="783"/>
      <c r="L99" s="783">
        <v>1</v>
      </c>
      <c r="M99" s="783">
        <v>0</v>
      </c>
      <c r="N99" s="783"/>
      <c r="O99" s="783"/>
      <c r="P99" s="783">
        <v>1</v>
      </c>
      <c r="Q99" s="783">
        <v>0</v>
      </c>
      <c r="R99" s="783">
        <f>AH97/AG97</f>
        <v>0</v>
      </c>
      <c r="S99" s="783">
        <f>1-R99</f>
        <v>1</v>
      </c>
      <c r="T99" s="783">
        <f>$R99</f>
        <v>0</v>
      </c>
      <c r="U99" s="783">
        <f>$S99</f>
        <v>1</v>
      </c>
      <c r="V99" s="783">
        <v>0.97</v>
      </c>
      <c r="W99" s="783">
        <f>AI97/AG97</f>
        <v>0</v>
      </c>
      <c r="X99" s="783">
        <v>0</v>
      </c>
      <c r="Y99" s="783">
        <f>W99</f>
        <v>0</v>
      </c>
      <c r="Z99" s="783">
        <f>AJ97/AG97</f>
        <v>0</v>
      </c>
      <c r="AA99" s="783">
        <f>$Z99</f>
        <v>0</v>
      </c>
      <c r="AB99" s="783">
        <f>$AA99</f>
        <v>0</v>
      </c>
      <c r="AC99" s="783">
        <f>$AA99</f>
        <v>0</v>
      </c>
      <c r="AD99" s="828"/>
      <c r="AE99" s="992"/>
      <c r="AF99" s="993"/>
      <c r="AG99" s="913"/>
      <c r="AH99" s="906"/>
      <c r="AI99" s="781"/>
      <c r="AJ99" s="782"/>
      <c r="AL99" s="232"/>
      <c r="AM99" s="233"/>
      <c r="AZ99" s="227"/>
    </row>
    <row r="100" spans="1:52" x14ac:dyDescent="0.3">
      <c r="A100" s="159"/>
      <c r="B100" s="231"/>
      <c r="C100" s="718" t="s">
        <v>600</v>
      </c>
      <c r="D100" s="784">
        <f>D98*D99</f>
        <v>0</v>
      </c>
      <c r="E100" s="785">
        <f t="shared" ref="E100:G100" si="121">E98*E99</f>
        <v>8</v>
      </c>
      <c r="F100" s="785">
        <f t="shared" si="121"/>
        <v>0</v>
      </c>
      <c r="G100" s="785">
        <f t="shared" si="121"/>
        <v>12</v>
      </c>
      <c r="H100" s="785"/>
      <c r="I100" s="785"/>
      <c r="J100" s="785"/>
      <c r="K100" s="785"/>
      <c r="L100" s="785">
        <f t="shared" ref="L100:M100" si="122">L98*L99</f>
        <v>4</v>
      </c>
      <c r="M100" s="785">
        <f t="shared" si="122"/>
        <v>0</v>
      </c>
      <c r="N100" s="785"/>
      <c r="O100" s="785"/>
      <c r="P100" s="785">
        <f t="shared" ref="P100:AC100" si="123">P98*P99</f>
        <v>8</v>
      </c>
      <c r="Q100" s="785">
        <f t="shared" si="123"/>
        <v>0</v>
      </c>
      <c r="R100" s="785">
        <f t="shared" si="123"/>
        <v>0</v>
      </c>
      <c r="S100" s="785">
        <f t="shared" si="123"/>
        <v>8</v>
      </c>
      <c r="T100" s="785">
        <f t="shared" si="123"/>
        <v>0</v>
      </c>
      <c r="U100" s="785">
        <f t="shared" si="123"/>
        <v>0</v>
      </c>
      <c r="V100" s="785">
        <f t="shared" si="123"/>
        <v>3.88</v>
      </c>
      <c r="W100" s="785">
        <f t="shared" si="123"/>
        <v>0</v>
      </c>
      <c r="X100" s="785">
        <f t="shared" si="123"/>
        <v>0</v>
      </c>
      <c r="Y100" s="785">
        <f t="shared" si="123"/>
        <v>0</v>
      </c>
      <c r="Z100" s="785">
        <f t="shared" si="123"/>
        <v>0</v>
      </c>
      <c r="AA100" s="785">
        <f t="shared" si="123"/>
        <v>0</v>
      </c>
      <c r="AB100" s="785">
        <f t="shared" si="123"/>
        <v>0</v>
      </c>
      <c r="AC100" s="785">
        <f t="shared" si="123"/>
        <v>0</v>
      </c>
      <c r="AD100" s="829">
        <f>SUM(D100:AC100)</f>
        <v>43.88</v>
      </c>
      <c r="AE100" s="994"/>
      <c r="AF100" s="995"/>
      <c r="AG100" s="914"/>
      <c r="AH100" s="907"/>
      <c r="AI100" s="786"/>
      <c r="AJ100" s="787"/>
      <c r="AL100" s="232"/>
      <c r="AM100" s="233"/>
      <c r="AZ100" s="227"/>
    </row>
    <row r="101" spans="1:52" ht="15" thickBot="1" x14ac:dyDescent="0.35">
      <c r="A101" s="159"/>
      <c r="B101" s="811"/>
      <c r="C101" s="812" t="s">
        <v>601</v>
      </c>
      <c r="D101" s="813"/>
      <c r="E101" s="813"/>
      <c r="F101" s="813"/>
      <c r="G101" s="814"/>
      <c r="H101" s="814"/>
      <c r="I101" s="814"/>
      <c r="J101" s="814"/>
      <c r="K101" s="814"/>
      <c r="L101" s="814"/>
      <c r="M101" s="814"/>
      <c r="N101" s="814"/>
      <c r="O101" s="814"/>
      <c r="P101" s="814"/>
      <c r="Q101" s="814"/>
      <c r="R101" s="814"/>
      <c r="S101" s="814"/>
      <c r="T101" s="814"/>
      <c r="U101" s="814"/>
      <c r="V101" s="814"/>
      <c r="W101" s="814"/>
      <c r="X101" s="814"/>
      <c r="Y101" s="814"/>
      <c r="Z101" s="814"/>
      <c r="AA101" s="814"/>
      <c r="AB101" s="814"/>
      <c r="AC101" s="814"/>
      <c r="AD101" s="831"/>
      <c r="AE101" s="835">
        <f>171-SUM(AE86:AE100)</f>
        <v>4</v>
      </c>
      <c r="AF101" s="1001">
        <v>0</v>
      </c>
      <c r="AG101" s="1002">
        <f>SUM(AE101:AF101)</f>
        <v>4</v>
      </c>
      <c r="AH101" s="1003">
        <v>0</v>
      </c>
      <c r="AI101" s="1004">
        <f>ROUND(89*AH101/AH$48,0)</f>
        <v>0</v>
      </c>
      <c r="AJ101" s="1005">
        <v>0</v>
      </c>
    </row>
    <row r="102" spans="1:52" x14ac:dyDescent="0.3">
      <c r="A102" s="159"/>
      <c r="B102" s="725" t="s">
        <v>549</v>
      </c>
      <c r="C102" s="726" t="s">
        <v>537</v>
      </c>
      <c r="D102" s="730">
        <f>D105*$AG105/($AG102-$AG106)</f>
        <v>0</v>
      </c>
      <c r="E102" s="730">
        <f>E105*$AG105/($AG102-$AG106)</f>
        <v>0</v>
      </c>
      <c r="F102" s="730">
        <f>F105*$AG105/($AG102-$AG106)</f>
        <v>0</v>
      </c>
      <c r="G102" s="729">
        <f>G105*$AG105/($AG102-$AG106)</f>
        <v>28</v>
      </c>
      <c r="H102" s="799"/>
      <c r="I102" s="799"/>
      <c r="J102" s="799"/>
      <c r="K102" s="799"/>
      <c r="L102" s="799"/>
      <c r="M102" s="730"/>
      <c r="N102" s="730">
        <f>N105*$AG105/($AG102-$AG106)</f>
        <v>0</v>
      </c>
      <c r="O102" s="730"/>
      <c r="P102" s="730">
        <f t="shared" ref="P102:AC102" si="124">P105*$AG105/($AG102-$AG106)</f>
        <v>3</v>
      </c>
      <c r="Q102" s="730">
        <f t="shared" si="124"/>
        <v>0</v>
      </c>
      <c r="R102" s="730">
        <f t="shared" si="124"/>
        <v>0</v>
      </c>
      <c r="S102" s="730">
        <f t="shared" si="124"/>
        <v>0</v>
      </c>
      <c r="T102" s="730">
        <f t="shared" si="124"/>
        <v>2.8489208633093526</v>
      </c>
      <c r="U102" s="730">
        <f t="shared" si="124"/>
        <v>0</v>
      </c>
      <c r="V102" s="730">
        <f t="shared" si="124"/>
        <v>0.5</v>
      </c>
      <c r="W102" s="730">
        <f t="shared" si="124"/>
        <v>0.83453237410071945</v>
      </c>
      <c r="X102" s="730">
        <f t="shared" si="124"/>
        <v>0</v>
      </c>
      <c r="Y102" s="730">
        <f t="shared" si="124"/>
        <v>5.0071942446043165</v>
      </c>
      <c r="Z102" s="730">
        <f t="shared" si="124"/>
        <v>4.4964028776978415E-2</v>
      </c>
      <c r="AA102" s="730">
        <f t="shared" si="124"/>
        <v>0.17985611510791366</v>
      </c>
      <c r="AB102" s="730">
        <f t="shared" si="124"/>
        <v>0</v>
      </c>
      <c r="AC102" s="730">
        <f t="shared" si="124"/>
        <v>60.431654676258994</v>
      </c>
      <c r="AD102" s="832">
        <f>SUM(D102:AC102)</f>
        <v>100.84712230215828</v>
      </c>
      <c r="AE102" s="1006">
        <f t="shared" ref="AE102:AJ102" si="125">SUM(AE103:AE106)</f>
        <v>278</v>
      </c>
      <c r="AF102" s="1007">
        <f t="shared" si="125"/>
        <v>0</v>
      </c>
      <c r="AG102" s="915">
        <f t="shared" si="125"/>
        <v>278</v>
      </c>
      <c r="AH102" s="908">
        <f t="shared" si="125"/>
        <v>99</v>
      </c>
      <c r="AI102" s="732">
        <f t="shared" si="125"/>
        <v>58</v>
      </c>
      <c r="AJ102" s="758">
        <f t="shared" si="125"/>
        <v>25</v>
      </c>
      <c r="AL102" s="232"/>
      <c r="AM102"/>
      <c r="AZ102" s="227"/>
    </row>
    <row r="103" spans="1:52" ht="32.4" customHeight="1" x14ac:dyDescent="0.3">
      <c r="A103" s="159">
        <f ca="1">OFFSET(A103,-5,0)+1</f>
        <v>30</v>
      </c>
      <c r="B103" s="736" t="str">
        <f ca="1">"Meranie č. "&amp;A103</f>
        <v>Meranie č. 30</v>
      </c>
      <c r="C103" s="1014" t="s">
        <v>538</v>
      </c>
      <c r="D103" s="779">
        <v>0</v>
      </c>
      <c r="E103" s="737">
        <v>0</v>
      </c>
      <c r="F103" s="737">
        <v>0</v>
      </c>
      <c r="G103" s="737">
        <v>28</v>
      </c>
      <c r="H103" s="737" t="s">
        <v>568</v>
      </c>
      <c r="I103" s="737" t="s">
        <v>568</v>
      </c>
      <c r="J103" s="737" t="s">
        <v>568</v>
      </c>
      <c r="K103" s="737" t="s">
        <v>568</v>
      </c>
      <c r="L103" s="737" t="s">
        <v>568</v>
      </c>
      <c r="M103" s="737">
        <v>0</v>
      </c>
      <c r="N103" s="737" t="s">
        <v>568</v>
      </c>
      <c r="O103" s="737" t="s">
        <v>572</v>
      </c>
      <c r="P103" s="737">
        <v>3</v>
      </c>
      <c r="Q103" s="737">
        <v>0</v>
      </c>
      <c r="R103" s="737">
        <v>0</v>
      </c>
      <c r="S103" s="737">
        <v>0</v>
      </c>
      <c r="T103" s="737">
        <v>8</v>
      </c>
      <c r="U103" s="737">
        <v>0</v>
      </c>
      <c r="V103" s="737">
        <v>0.5</v>
      </c>
      <c r="W103" s="737">
        <v>4</v>
      </c>
      <c r="X103" s="737">
        <v>0</v>
      </c>
      <c r="Y103" s="737">
        <v>24</v>
      </c>
      <c r="Z103" s="737">
        <v>0.5</v>
      </c>
      <c r="AA103" s="737">
        <v>2</v>
      </c>
      <c r="AB103" s="737">
        <v>0</v>
      </c>
      <c r="AC103" s="737">
        <v>672</v>
      </c>
      <c r="AD103" s="827">
        <f>SUM(D103:AC103)</f>
        <v>742</v>
      </c>
      <c r="AE103" s="990"/>
      <c r="AF103" s="991"/>
      <c r="AG103" s="912"/>
      <c r="AH103" s="904"/>
      <c r="AI103" s="738"/>
      <c r="AJ103" s="759"/>
      <c r="AL103" s="232"/>
      <c r="AZ103" s="227"/>
    </row>
    <row r="104" spans="1:52" x14ac:dyDescent="0.3">
      <c r="A104" s="159"/>
      <c r="B104" s="734"/>
      <c r="C104" s="718" t="s">
        <v>532</v>
      </c>
      <c r="D104" s="780">
        <v>0</v>
      </c>
      <c r="E104" s="783">
        <v>0</v>
      </c>
      <c r="F104" s="783">
        <v>0</v>
      </c>
      <c r="G104" s="783">
        <v>1</v>
      </c>
      <c r="H104" s="783"/>
      <c r="I104" s="783"/>
      <c r="J104" s="783"/>
      <c r="K104" s="783"/>
      <c r="L104" s="783"/>
      <c r="M104" s="783">
        <v>0</v>
      </c>
      <c r="N104" s="783"/>
      <c r="O104" s="783"/>
      <c r="P104" s="783">
        <v>1</v>
      </c>
      <c r="Q104" s="783">
        <v>0</v>
      </c>
      <c r="R104" s="783">
        <f>AH105/AG105</f>
        <v>0.35611510791366907</v>
      </c>
      <c r="S104" s="783">
        <f>1-R104</f>
        <v>0.64388489208633093</v>
      </c>
      <c r="T104" s="783">
        <f>$R104</f>
        <v>0.35611510791366907</v>
      </c>
      <c r="U104" s="783">
        <f>$S104</f>
        <v>0.64388489208633093</v>
      </c>
      <c r="V104" s="783">
        <v>1</v>
      </c>
      <c r="W104" s="783">
        <f>AI105/AG105</f>
        <v>0.20863309352517986</v>
      </c>
      <c r="X104" s="783">
        <v>0</v>
      </c>
      <c r="Y104" s="783">
        <f>W104</f>
        <v>0.20863309352517986</v>
      </c>
      <c r="Z104" s="783">
        <f>AJ105/AG105</f>
        <v>8.9928057553956831E-2</v>
      </c>
      <c r="AA104" s="783">
        <f>$Z104</f>
        <v>8.9928057553956831E-2</v>
      </c>
      <c r="AB104" s="783">
        <f>$AA104</f>
        <v>8.9928057553956831E-2</v>
      </c>
      <c r="AC104" s="783">
        <f>$AA104</f>
        <v>8.9928057553956831E-2</v>
      </c>
      <c r="AD104" s="828"/>
      <c r="AE104" s="992"/>
      <c r="AF104" s="993"/>
      <c r="AG104" s="913"/>
      <c r="AH104" s="906"/>
      <c r="AI104" s="781"/>
      <c r="AJ104" s="782"/>
      <c r="AL104" s="232"/>
      <c r="AM104" s="233"/>
      <c r="AZ104" s="227"/>
    </row>
    <row r="105" spans="1:52" x14ac:dyDescent="0.3">
      <c r="A105" s="159"/>
      <c r="B105" s="231"/>
      <c r="C105" s="718" t="s">
        <v>600</v>
      </c>
      <c r="D105" s="784">
        <f>D103*D104</f>
        <v>0</v>
      </c>
      <c r="E105" s="785">
        <f t="shared" ref="E105:G105" si="126">E103*E104</f>
        <v>0</v>
      </c>
      <c r="F105" s="785">
        <f t="shared" si="126"/>
        <v>0</v>
      </c>
      <c r="G105" s="785">
        <f t="shared" si="126"/>
        <v>28</v>
      </c>
      <c r="H105" s="785"/>
      <c r="I105" s="785"/>
      <c r="J105" s="785"/>
      <c r="K105" s="785"/>
      <c r="L105" s="785"/>
      <c r="M105" s="785"/>
      <c r="N105" s="785"/>
      <c r="O105" s="785"/>
      <c r="P105" s="785">
        <f t="shared" ref="P105:AC105" si="127">P103*P104</f>
        <v>3</v>
      </c>
      <c r="Q105" s="785">
        <f t="shared" si="127"/>
        <v>0</v>
      </c>
      <c r="R105" s="785">
        <f t="shared" si="127"/>
        <v>0</v>
      </c>
      <c r="S105" s="785">
        <f t="shared" si="127"/>
        <v>0</v>
      </c>
      <c r="T105" s="785">
        <f t="shared" si="127"/>
        <v>2.8489208633093526</v>
      </c>
      <c r="U105" s="785">
        <f t="shared" si="127"/>
        <v>0</v>
      </c>
      <c r="V105" s="785">
        <f t="shared" si="127"/>
        <v>0.5</v>
      </c>
      <c r="W105" s="785">
        <f t="shared" si="127"/>
        <v>0.83453237410071945</v>
      </c>
      <c r="X105" s="785">
        <f t="shared" si="127"/>
        <v>0</v>
      </c>
      <c r="Y105" s="785">
        <f t="shared" si="127"/>
        <v>5.0071942446043165</v>
      </c>
      <c r="Z105" s="785">
        <f t="shared" si="127"/>
        <v>4.4964028776978415E-2</v>
      </c>
      <c r="AA105" s="785">
        <f t="shared" si="127"/>
        <v>0.17985611510791366</v>
      </c>
      <c r="AB105" s="785">
        <f t="shared" si="127"/>
        <v>0</v>
      </c>
      <c r="AC105" s="785">
        <f t="shared" si="127"/>
        <v>60.431654676258987</v>
      </c>
      <c r="AD105" s="829">
        <f>SUM(D105:AC105)</f>
        <v>100.84712230215827</v>
      </c>
      <c r="AE105" s="994">
        <v>278</v>
      </c>
      <c r="AF105" s="995">
        <v>0</v>
      </c>
      <c r="AG105" s="914">
        <f>SUM(AE105:AF105)</f>
        <v>278</v>
      </c>
      <c r="AH105" s="907">
        <v>99</v>
      </c>
      <c r="AI105" s="786">
        <v>58</v>
      </c>
      <c r="AJ105" s="787">
        <v>25</v>
      </c>
      <c r="AL105" s="232"/>
      <c r="AM105" s="233"/>
      <c r="AZ105" s="227"/>
    </row>
    <row r="106" spans="1:52" x14ac:dyDescent="0.3">
      <c r="A106" s="159"/>
      <c r="B106" s="837"/>
      <c r="C106" s="838" t="s">
        <v>601</v>
      </c>
      <c r="D106" s="839"/>
      <c r="E106" s="839"/>
      <c r="F106" s="839"/>
      <c r="G106" s="840"/>
      <c r="H106" s="840"/>
      <c r="I106" s="840"/>
      <c r="J106" s="840"/>
      <c r="K106" s="840"/>
      <c r="L106" s="840"/>
      <c r="M106" s="840"/>
      <c r="N106" s="840"/>
      <c r="O106" s="840"/>
      <c r="P106" s="840"/>
      <c r="Q106" s="840"/>
      <c r="R106" s="840"/>
      <c r="S106" s="840"/>
      <c r="T106" s="840"/>
      <c r="U106" s="840"/>
      <c r="V106" s="840"/>
      <c r="W106" s="840"/>
      <c r="X106" s="840"/>
      <c r="Y106" s="840"/>
      <c r="Z106" s="840"/>
      <c r="AA106" s="840"/>
      <c r="AB106" s="840"/>
      <c r="AC106" s="840"/>
      <c r="AD106" s="853"/>
      <c r="AE106" s="854">
        <f>278-SUM(AE103:AE105)</f>
        <v>0</v>
      </c>
      <c r="AF106" s="1008">
        <v>0</v>
      </c>
      <c r="AG106" s="1009">
        <f>SUM(AE106:AF106)</f>
        <v>0</v>
      </c>
      <c r="AH106" s="1010">
        <v>0</v>
      </c>
      <c r="AI106" s="1011">
        <f>ROUND(89*AH106/AH$48,0)</f>
        <v>0</v>
      </c>
      <c r="AJ106" s="1012">
        <f>ROUND(20*AI106/AI$71,0)</f>
        <v>0</v>
      </c>
    </row>
    <row r="107" spans="1:52" ht="7.95" customHeight="1" thickBot="1" x14ac:dyDescent="0.35">
      <c r="A107" s="159"/>
      <c r="B107" s="743"/>
      <c r="C107" s="856"/>
      <c r="D107" s="789"/>
      <c r="E107" s="789"/>
      <c r="F107" s="789"/>
      <c r="G107" s="857"/>
      <c r="H107" s="857"/>
      <c r="I107" s="857"/>
      <c r="J107" s="857"/>
      <c r="K107" s="857"/>
      <c r="L107" s="774"/>
      <c r="M107" s="789"/>
      <c r="N107" s="789"/>
      <c r="O107" s="789"/>
      <c r="P107" s="789"/>
      <c r="Q107" s="789"/>
      <c r="R107" s="789"/>
      <c r="S107" s="789"/>
      <c r="T107" s="789"/>
      <c r="U107" s="789"/>
      <c r="V107" s="789"/>
      <c r="W107" s="789"/>
      <c r="X107" s="789"/>
      <c r="Y107" s="789"/>
      <c r="Z107" s="789"/>
      <c r="AA107" s="789"/>
      <c r="AB107" s="789"/>
      <c r="AC107" s="789"/>
      <c r="AD107" s="858"/>
      <c r="AE107" s="859"/>
      <c r="AF107" s="903"/>
      <c r="AG107" s="916"/>
      <c r="AH107" s="909"/>
      <c r="AI107" s="775"/>
      <c r="AJ107" s="776"/>
    </row>
    <row r="109" spans="1:52" x14ac:dyDescent="0.3">
      <c r="B109" t="s">
        <v>761</v>
      </c>
      <c r="AG109" s="690">
        <v>1391611.88</v>
      </c>
    </row>
    <row r="110" spans="1:52" x14ac:dyDescent="0.3">
      <c r="B110" t="s">
        <v>762</v>
      </c>
      <c r="AG110" s="690">
        <v>-3731</v>
      </c>
    </row>
    <row r="111" spans="1:52" x14ac:dyDescent="0.3">
      <c r="B111" t="s">
        <v>636</v>
      </c>
      <c r="AG111" s="982">
        <f>SUM(AG109:AG110)</f>
        <v>1387880.88</v>
      </c>
    </row>
    <row r="112" spans="1:52" x14ac:dyDescent="0.3">
      <c r="B112" t="s">
        <v>763</v>
      </c>
      <c r="AD112" s="761"/>
      <c r="AG112" s="690">
        <f>AG111/'Procesy - AS IS'!AG4</f>
        <v>521.95595336592703</v>
      </c>
      <c r="AH112" s="690">
        <f>AG111/'Procesy - AS IS'!AH4</f>
        <v>1542.0898666666665</v>
      </c>
      <c r="AI112" s="690">
        <f>AG111/'Procesy - AS IS'!AI4</f>
        <v>2376.5083561643833</v>
      </c>
      <c r="AJ112" s="881" t="s">
        <v>319</v>
      </c>
    </row>
    <row r="113" spans="2:51" x14ac:dyDescent="0.3">
      <c r="AD113" s="761"/>
      <c r="AF113" s="690"/>
      <c r="AG113" s="690"/>
      <c r="AH113" s="690"/>
      <c r="AI113" s="881"/>
      <c r="AY113"/>
    </row>
    <row r="114" spans="2:51" x14ac:dyDescent="0.3">
      <c r="B114" t="s">
        <v>568</v>
      </c>
      <c r="C114" t="s">
        <v>569</v>
      </c>
    </row>
    <row r="115" spans="2:51" x14ac:dyDescent="0.3">
      <c r="B115" t="s">
        <v>570</v>
      </c>
      <c r="C115" t="s">
        <v>571</v>
      </c>
    </row>
    <row r="116" spans="2:51" x14ac:dyDescent="0.3">
      <c r="B116" t="s">
        <v>572</v>
      </c>
      <c r="C116" t="s">
        <v>573</v>
      </c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</row>
    <row r="117" spans="2:51" x14ac:dyDescent="0.3">
      <c r="B117" t="s">
        <v>574</v>
      </c>
      <c r="C117" t="s">
        <v>575</v>
      </c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</row>
    <row r="119" spans="2:51" x14ac:dyDescent="0.3">
      <c r="B119" t="s">
        <v>539</v>
      </c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</row>
  </sheetData>
  <conditionalFormatting sqref="D107:AF107">
    <cfRule type="cellIs" dxfId="409" priority="309" operator="equal">
      <formula>"N"</formula>
    </cfRule>
    <cfRule type="cellIs" dxfId="408" priority="310" operator="equal">
      <formula>"A"</formula>
    </cfRule>
  </conditionalFormatting>
  <conditionalFormatting sqref="D24:AB24">
    <cfRule type="cellIs" dxfId="407" priority="43" operator="equal">
      <formula>"N"</formula>
    </cfRule>
    <cfRule type="cellIs" dxfId="406" priority="44" operator="equal">
      <formula>"A"</formula>
    </cfRule>
  </conditionalFormatting>
  <conditionalFormatting sqref="AC24:AE24">
    <cfRule type="cellIs" dxfId="405" priority="41" operator="equal">
      <formula>"N"</formula>
    </cfRule>
    <cfRule type="cellIs" dxfId="404" priority="42" operator="equal">
      <formula>"A"</formula>
    </cfRule>
  </conditionalFormatting>
  <conditionalFormatting sqref="D47">
    <cfRule type="cellIs" dxfId="403" priority="35" operator="equal">
      <formula>"N"</formula>
    </cfRule>
    <cfRule type="cellIs" dxfId="402" priority="36" operator="equal">
      <formula>"A"</formula>
    </cfRule>
  </conditionalFormatting>
  <conditionalFormatting sqref="E47">
    <cfRule type="cellIs" dxfId="401" priority="33" operator="equal">
      <formula>"N"</formula>
    </cfRule>
    <cfRule type="cellIs" dxfId="400" priority="34" operator="equal">
      <formula>"A"</formula>
    </cfRule>
  </conditionalFormatting>
  <conditionalFormatting sqref="AC47:AE47 F47:AA47">
    <cfRule type="cellIs" dxfId="399" priority="39" operator="equal">
      <formula>"N"</formula>
    </cfRule>
    <cfRule type="cellIs" dxfId="398" priority="40" operator="equal">
      <formula>"A"</formula>
    </cfRule>
  </conditionalFormatting>
  <conditionalFormatting sqref="AB47">
    <cfRule type="cellIs" dxfId="397" priority="37" operator="equal">
      <formula>"N"</formula>
    </cfRule>
    <cfRule type="cellIs" dxfId="396" priority="38" operator="equal">
      <formula>"A"</formula>
    </cfRule>
  </conditionalFormatting>
  <conditionalFormatting sqref="E70">
    <cfRule type="cellIs" dxfId="395" priority="25" operator="equal">
      <formula>"N"</formula>
    </cfRule>
    <cfRule type="cellIs" dxfId="394" priority="26" operator="equal">
      <formula>"A"</formula>
    </cfRule>
  </conditionalFormatting>
  <conditionalFormatting sqref="E84">
    <cfRule type="cellIs" dxfId="393" priority="17" operator="equal">
      <formula>"N"</formula>
    </cfRule>
    <cfRule type="cellIs" dxfId="392" priority="18" operator="equal">
      <formula>"A"</formula>
    </cfRule>
  </conditionalFormatting>
  <conditionalFormatting sqref="E101">
    <cfRule type="cellIs" dxfId="391" priority="9" operator="equal">
      <formula>"N"</formula>
    </cfRule>
    <cfRule type="cellIs" dxfId="390" priority="10" operator="equal">
      <formula>"A"</formula>
    </cfRule>
  </conditionalFormatting>
  <conditionalFormatting sqref="E106">
    <cfRule type="cellIs" dxfId="389" priority="1" operator="equal">
      <formula>"N"</formula>
    </cfRule>
    <cfRule type="cellIs" dxfId="388" priority="2" operator="equal">
      <formula>"A"</formula>
    </cfRule>
  </conditionalFormatting>
  <conditionalFormatting sqref="D70">
    <cfRule type="cellIs" dxfId="387" priority="27" operator="equal">
      <formula>"N"</formula>
    </cfRule>
    <cfRule type="cellIs" dxfId="386" priority="28" operator="equal">
      <formula>"A"</formula>
    </cfRule>
  </conditionalFormatting>
  <conditionalFormatting sqref="AC70:AE70 F70:AA70">
    <cfRule type="cellIs" dxfId="385" priority="31" operator="equal">
      <formula>"N"</formula>
    </cfRule>
    <cfRule type="cellIs" dxfId="384" priority="32" operator="equal">
      <formula>"A"</formula>
    </cfRule>
  </conditionalFormatting>
  <conditionalFormatting sqref="AB70">
    <cfRule type="cellIs" dxfId="383" priority="29" operator="equal">
      <formula>"N"</formula>
    </cfRule>
    <cfRule type="cellIs" dxfId="382" priority="30" operator="equal">
      <formula>"A"</formula>
    </cfRule>
  </conditionalFormatting>
  <conditionalFormatting sqref="D84">
    <cfRule type="cellIs" dxfId="381" priority="19" operator="equal">
      <formula>"N"</formula>
    </cfRule>
    <cfRule type="cellIs" dxfId="380" priority="20" operator="equal">
      <formula>"A"</formula>
    </cfRule>
  </conditionalFormatting>
  <conditionalFormatting sqref="AC84:AE84 F84:AA84">
    <cfRule type="cellIs" dxfId="379" priority="23" operator="equal">
      <formula>"N"</formula>
    </cfRule>
    <cfRule type="cellIs" dxfId="378" priority="24" operator="equal">
      <formula>"A"</formula>
    </cfRule>
  </conditionalFormatting>
  <conditionalFormatting sqref="AB84">
    <cfRule type="cellIs" dxfId="377" priority="21" operator="equal">
      <formula>"N"</formula>
    </cfRule>
    <cfRule type="cellIs" dxfId="376" priority="22" operator="equal">
      <formula>"A"</formula>
    </cfRule>
  </conditionalFormatting>
  <conditionalFormatting sqref="D101">
    <cfRule type="cellIs" dxfId="375" priority="11" operator="equal">
      <formula>"N"</formula>
    </cfRule>
    <cfRule type="cellIs" dxfId="374" priority="12" operator="equal">
      <formula>"A"</formula>
    </cfRule>
  </conditionalFormatting>
  <conditionalFormatting sqref="AC101:AE101 F101:AA101">
    <cfRule type="cellIs" dxfId="373" priority="15" operator="equal">
      <formula>"N"</formula>
    </cfRule>
    <cfRule type="cellIs" dxfId="372" priority="16" operator="equal">
      <formula>"A"</formula>
    </cfRule>
  </conditionalFormatting>
  <conditionalFormatting sqref="AB101">
    <cfRule type="cellIs" dxfId="371" priority="13" operator="equal">
      <formula>"N"</formula>
    </cfRule>
    <cfRule type="cellIs" dxfId="370" priority="14" operator="equal">
      <formula>"A"</formula>
    </cfRule>
  </conditionalFormatting>
  <conditionalFormatting sqref="D106">
    <cfRule type="cellIs" dxfId="369" priority="3" operator="equal">
      <formula>"N"</formula>
    </cfRule>
    <cfRule type="cellIs" dxfId="368" priority="4" operator="equal">
      <formula>"A"</formula>
    </cfRule>
  </conditionalFormatting>
  <conditionalFormatting sqref="AC106:AE106 F106:AA106">
    <cfRule type="cellIs" dxfId="367" priority="7" operator="equal">
      <formula>"N"</formula>
    </cfRule>
    <cfRule type="cellIs" dxfId="366" priority="8" operator="equal">
      <formula>"A"</formula>
    </cfRule>
  </conditionalFormatting>
  <conditionalFormatting sqref="AB106">
    <cfRule type="cellIs" dxfId="365" priority="5" operator="equal">
      <formula>"N"</formula>
    </cfRule>
    <cfRule type="cellIs" dxfId="364" priority="6" operator="equal">
      <formula>"A"</formula>
    </cfRule>
  </conditionalFormatting>
  <pageMargins left="0.7" right="0.7" top="0.75" bottom="0.75" header="0.3" footer="0.3"/>
  <pageSetup paperSize="9" scale="67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Y448"/>
  <sheetViews>
    <sheetView showGridLines="0" zoomScale="60" zoomScaleNormal="60" zoomScaleSheetLayoutView="90" workbookViewId="0">
      <pane xSplit="3" ySplit="2" topLeftCell="P276" activePane="bottomRight" state="frozen"/>
      <selection pane="topRight" activeCell="C1" sqref="C1"/>
      <selection pane="bottomLeft" activeCell="A3" sqref="A3"/>
      <selection pane="bottomRight" activeCell="AF447" sqref="AF447"/>
    </sheetView>
  </sheetViews>
  <sheetFormatPr defaultColWidth="8.88671875" defaultRowHeight="14.4" outlineLevelRow="1" x14ac:dyDescent="0.3"/>
  <cols>
    <col min="2" max="2" width="21.44140625" customWidth="1"/>
    <col min="3" max="3" width="34.6640625" customWidth="1"/>
    <col min="4" max="4" width="14.33203125" style="227" customWidth="1"/>
    <col min="5" max="5" width="14.109375" style="227" customWidth="1"/>
    <col min="6" max="6" width="14.88671875" style="227" customWidth="1"/>
    <col min="7" max="8" width="16.6640625" style="227" customWidth="1"/>
    <col min="9" max="16" width="14.88671875" style="227" customWidth="1"/>
    <col min="17" max="17" width="17.109375" style="227" customWidth="1"/>
    <col min="18" max="21" width="14.88671875" style="227" customWidth="1"/>
    <col min="22" max="22" width="11.109375" style="227" customWidth="1"/>
    <col min="23" max="23" width="16.88671875" style="227" customWidth="1"/>
    <col min="24" max="29" width="14.88671875" style="227" customWidth="1"/>
    <col min="30" max="30" width="10.33203125" style="227" customWidth="1"/>
    <col min="31" max="31" width="8.33203125" style="227" bestFit="1" customWidth="1"/>
    <col min="32" max="32" width="11.33203125" style="227" customWidth="1"/>
    <col min="33" max="33" width="13.33203125" style="227" customWidth="1"/>
    <col min="34" max="34" width="11.5546875" style="227" customWidth="1"/>
    <col min="35" max="35" width="11.33203125" style="227" customWidth="1"/>
    <col min="36" max="50" width="8.44140625" style="227" customWidth="1"/>
  </cols>
  <sheetData>
    <row r="1" spans="1:51" ht="15" thickBot="1" x14ac:dyDescent="0.35">
      <c r="C1" s="227"/>
      <c r="E1" s="727"/>
      <c r="F1" s="727"/>
      <c r="G1" s="727"/>
      <c r="H1" s="727"/>
      <c r="I1" s="727"/>
      <c r="J1" s="727"/>
      <c r="K1" s="727"/>
      <c r="L1" s="727"/>
      <c r="M1" s="727"/>
      <c r="N1" s="727"/>
      <c r="O1" s="727"/>
      <c r="P1" s="727"/>
      <c r="Q1" s="727"/>
      <c r="R1" s="727"/>
      <c r="S1" s="727"/>
      <c r="T1" s="727"/>
      <c r="U1" s="727"/>
      <c r="V1" s="727"/>
      <c r="W1" s="727"/>
      <c r="X1" s="727"/>
      <c r="Y1" s="727"/>
      <c r="Z1" s="727"/>
      <c r="AA1" s="727"/>
      <c r="AB1" s="727"/>
      <c r="AC1" s="727"/>
      <c r="AD1" s="727"/>
      <c r="AE1" s="727"/>
      <c r="AF1" s="727"/>
      <c r="AG1" s="727"/>
      <c r="AH1" s="727"/>
      <c r="AI1" s="727"/>
    </row>
    <row r="2" spans="1:51" s="717" customFormat="1" ht="77.400000000000006" customHeight="1" thickBot="1" x14ac:dyDescent="0.35">
      <c r="B2" s="230" t="s">
        <v>211</v>
      </c>
      <c r="C2" s="713" t="s">
        <v>524</v>
      </c>
      <c r="D2" s="714" t="str">
        <f>'Procesy - AS IS'!D2</f>
        <v>Prijatie oznámenia MZV</v>
      </c>
      <c r="E2" s="714" t="str">
        <f>'Procesy - AS IS'!E2</f>
        <v>Príprava na kontrolu pred vydaním poverenia</v>
      </c>
      <c r="F2" s="714" t="str">
        <f>'Procesy - AS IS'!F2</f>
        <v>Vystavenie poverenia</v>
      </c>
      <c r="G2" s="714" t="str">
        <f>'Procesy - AS IS'!G2</f>
        <v>Oboznámenie sa s predchádzajúcimi zisteniami</v>
      </c>
      <c r="H2" s="714" t="str">
        <f>'Procesy - AS IS'!H2</f>
        <v>Oboznámenie sa s výškou predchádzajúcich sankcií</v>
      </c>
      <c r="I2" s="714" t="str">
        <f>'Procesy - AS IS'!I2</f>
        <v>Oboznámenie sa s uhrádzaním sankcií</v>
      </c>
      <c r="J2" s="714" t="str">
        <f>'Procesy - AS IS'!J2</f>
        <v>Oboznámenie sa s plnením nápravných opatrení</v>
      </c>
      <c r="K2" s="714" t="str">
        <f>'Procesy - AS IS'!K2</f>
        <v>Zber externých údajov pri príprave kontroly</v>
      </c>
      <c r="L2" s="714" t="str">
        <f>'Procesy - AS IS'!L2</f>
        <v>Vypracovanie oznámenia o začatí kontroly</v>
      </c>
      <c r="M2" s="714" t="str">
        <f>'Procesy - AS IS'!M2</f>
        <v>Vypracovanie zoznamu požadovanej dokumentácie</v>
      </c>
      <c r="N2" s="714" t="str">
        <f>'Procesy - AS IS'!N2</f>
        <v>Vypracovanie zoznamu kontrolných otázok</v>
      </c>
      <c r="O2" s="714" t="str">
        <f>'Procesy - AS IS'!O2</f>
        <v>Administratívna príprava kontroly</v>
      </c>
      <c r="P2" s="714" t="str">
        <f>'Procesy - AS IS'!P2</f>
        <v>Uloženie dôkazov z ohliadky do spisu</v>
      </c>
      <c r="Q2" s="714" t="str">
        <f>'Procesy - AS IS'!Q2</f>
        <v>Vypracovanie zápisu z ohliadky / čiastkového / priebežného protokolu</v>
      </c>
      <c r="R2" s="714" t="str">
        <f>'Procesy - AS IS'!R2</f>
        <v>Vypracovanie výstupu z kontroly (protokol, správa)</v>
      </c>
      <c r="S2" s="714" t="str">
        <f>'Procesy - AS IS'!S2</f>
        <v>Vypracovanie výstupu z kontroly (záznam, správa)</v>
      </c>
      <c r="T2" s="714" t="str">
        <f>'Procesy - AS IS'!T2</f>
        <v>Vypracovanie stanoviska k pripomienkam kontrolovaného subjektu</v>
      </c>
      <c r="U2" s="714" t="str">
        <f>'Procesy - AS IS'!U2</f>
        <v>Vypracovanie zápisnice z prerokovania výstupu z kontroly</v>
      </c>
      <c r="V2" s="714" t="str">
        <f>'Procesy - AS IS'!V2</f>
        <v>Ukončenie spisu</v>
      </c>
      <c r="W2" s="714" t="str">
        <f>'Procesy - AS IS'!W2</f>
        <v>Vypracovanie a zaslanie oznámenia o začatí správneho konania</v>
      </c>
      <c r="X2" s="714" t="str">
        <f>'Procesy - AS IS'!X2</f>
        <v>Vypracovanie zápisnice z ústneho pojednávania</v>
      </c>
      <c r="Y2" s="714" t="str">
        <f>'Procesy - AS IS'!Y2</f>
        <v>Vypracovanie rozhodnutia o sankcii</v>
      </c>
      <c r="Z2" s="714" t="str">
        <f>'Procesy - AS IS'!Z2</f>
        <v>Vypracovanie upovedomenia o postúpení odvolania</v>
      </c>
      <c r="AA2" s="714" t="str">
        <f>'Procesy - AS IS'!AA2</f>
        <v>Žurnalizácia spisu</v>
      </c>
      <c r="AB2" s="795" t="str">
        <f>'Procesy - AS IS'!AB2</f>
        <v>Vypracovanie predkladacej správy k odvolaniu</v>
      </c>
      <c r="AC2" s="728" t="str">
        <f>'Procesy - AS IS'!AC2</f>
        <v>Vypracovanie rozhodnutia o odvolaní</v>
      </c>
      <c r="AD2" s="744" t="str">
        <f>'Procesy - AS IS'!AD2</f>
        <v>Trvanie spolu</v>
      </c>
      <c r="AE2" s="728" t="s">
        <v>602</v>
      </c>
      <c r="AF2" s="744" t="s">
        <v>317</v>
      </c>
      <c r="AG2" s="728" t="s">
        <v>529</v>
      </c>
      <c r="AH2" s="728" t="s">
        <v>530</v>
      </c>
      <c r="AI2" s="755" t="s">
        <v>531</v>
      </c>
      <c r="AJ2" s="711"/>
      <c r="AK2" s="194"/>
      <c r="AL2" s="716"/>
      <c r="AM2" s="716"/>
      <c r="AN2" s="716"/>
      <c r="AO2" s="716"/>
      <c r="AP2" s="716"/>
      <c r="AQ2" s="716"/>
      <c r="AR2" s="716"/>
      <c r="AS2" s="716"/>
      <c r="AT2" s="716"/>
      <c r="AU2" s="716"/>
      <c r="AV2" s="716"/>
      <c r="AW2" s="716"/>
      <c r="AX2" s="716"/>
      <c r="AY2" s="716"/>
    </row>
    <row r="3" spans="1:51" x14ac:dyDescent="0.3">
      <c r="B3" s="723"/>
      <c r="C3" s="724"/>
      <c r="D3" s="730" t="s">
        <v>525</v>
      </c>
      <c r="E3" s="729" t="s">
        <v>525</v>
      </c>
      <c r="F3" s="729" t="s">
        <v>525</v>
      </c>
      <c r="G3" s="733" t="s">
        <v>525</v>
      </c>
      <c r="H3" s="733" t="s">
        <v>525</v>
      </c>
      <c r="I3" s="733" t="s">
        <v>525</v>
      </c>
      <c r="J3" s="733" t="s">
        <v>525</v>
      </c>
      <c r="K3" s="733" t="s">
        <v>525</v>
      </c>
      <c r="L3" s="733" t="s">
        <v>525</v>
      </c>
      <c r="M3" s="733" t="s">
        <v>525</v>
      </c>
      <c r="N3" s="733" t="s">
        <v>525</v>
      </c>
      <c r="O3" s="733" t="s">
        <v>525</v>
      </c>
      <c r="P3" s="733" t="s">
        <v>525</v>
      </c>
      <c r="Q3" s="733" t="s">
        <v>525</v>
      </c>
      <c r="R3" s="733" t="s">
        <v>525</v>
      </c>
      <c r="S3" s="733" t="s">
        <v>525</v>
      </c>
      <c r="T3" s="733" t="s">
        <v>525</v>
      </c>
      <c r="U3" s="733" t="s">
        <v>525</v>
      </c>
      <c r="V3" s="733" t="s">
        <v>525</v>
      </c>
      <c r="W3" s="733" t="s">
        <v>525</v>
      </c>
      <c r="X3" s="733" t="s">
        <v>525</v>
      </c>
      <c r="Y3" s="733" t="s">
        <v>525</v>
      </c>
      <c r="Z3" s="733" t="s">
        <v>525</v>
      </c>
      <c r="AA3" s="733" t="s">
        <v>525</v>
      </c>
      <c r="AB3" s="733" t="s">
        <v>525</v>
      </c>
      <c r="AC3" s="729" t="s">
        <v>525</v>
      </c>
      <c r="AD3" s="880" t="s">
        <v>525</v>
      </c>
      <c r="AE3" s="797"/>
      <c r="AF3" s="778"/>
      <c r="AG3" s="1015"/>
      <c r="AH3" s="731"/>
      <c r="AI3" s="756"/>
      <c r="AK3" s="232"/>
      <c r="AL3"/>
      <c r="AY3" s="227"/>
    </row>
    <row r="4" spans="1:51" x14ac:dyDescent="0.3">
      <c r="B4" s="734" t="s">
        <v>158</v>
      </c>
      <c r="C4" s="751" t="s">
        <v>533</v>
      </c>
      <c r="D4" s="768">
        <f t="shared" ref="D4:AD4" si="0">D5*$AF5/$AF4+D91*$AF91/$AF4+D191*$AF191/$AF4+D291*$AF291/$AF4+D349*$AF349/$AF4+D421*$AF421/$AF4</f>
        <v>0</v>
      </c>
      <c r="E4" s="768">
        <f t="shared" si="0"/>
        <v>-0.13220909483371504</v>
      </c>
      <c r="F4" s="768">
        <f t="shared" si="0"/>
        <v>-0.1605920846547024</v>
      </c>
      <c r="G4" s="768">
        <f t="shared" si="0"/>
        <v>-2.9588924232334382</v>
      </c>
      <c r="H4" s="768">
        <f t="shared" si="0"/>
        <v>0</v>
      </c>
      <c r="I4" s="768">
        <f t="shared" si="0"/>
        <v>0</v>
      </c>
      <c r="J4" s="768">
        <f t="shared" si="0"/>
        <v>0</v>
      </c>
      <c r="K4" s="768">
        <f t="shared" si="0"/>
        <v>0</v>
      </c>
      <c r="L4" s="768">
        <f t="shared" si="0"/>
        <v>-0.15541887722926254</v>
      </c>
      <c r="M4" s="768">
        <f t="shared" si="0"/>
        <v>-0.36439025295950755</v>
      </c>
      <c r="N4" s="768">
        <f t="shared" si="0"/>
        <v>0</v>
      </c>
      <c r="O4" s="768">
        <f t="shared" si="0"/>
        <v>0</v>
      </c>
      <c r="P4" s="768">
        <f t="shared" si="0"/>
        <v>-2.7047059528741824</v>
      </c>
      <c r="Q4" s="768">
        <f t="shared" si="0"/>
        <v>0</v>
      </c>
      <c r="R4" s="768">
        <f t="shared" si="0"/>
        <v>-3.5245270458869729</v>
      </c>
      <c r="S4" s="768">
        <f t="shared" si="0"/>
        <v>-4.3699449090508056</v>
      </c>
      <c r="T4" s="768">
        <f t="shared" si="0"/>
        <v>-1.5954168973269893</v>
      </c>
      <c r="U4" s="768">
        <f t="shared" si="0"/>
        <v>-1.1526828252331784</v>
      </c>
      <c r="V4" s="768">
        <f t="shared" si="0"/>
        <v>-1.2457164249148063</v>
      </c>
      <c r="W4" s="768">
        <f t="shared" si="0"/>
        <v>-0.14791712561194076</v>
      </c>
      <c r="X4" s="768">
        <f t="shared" si="0"/>
        <v>0</v>
      </c>
      <c r="Y4" s="768">
        <f t="shared" si="0"/>
        <v>-1.6564635363547819</v>
      </c>
      <c r="Z4" s="768">
        <f t="shared" si="0"/>
        <v>-2.0981805418877595E-2</v>
      </c>
      <c r="AA4" s="768">
        <f t="shared" si="0"/>
        <v>-3.1675333334490366E-2</v>
      </c>
      <c r="AB4" s="768">
        <f t="shared" si="0"/>
        <v>-0.12751519540283926</v>
      </c>
      <c r="AC4" s="768">
        <f t="shared" si="0"/>
        <v>-1.5638043218552153</v>
      </c>
      <c r="AD4" s="819">
        <f t="shared" si="0"/>
        <v>-119.6727736059658</v>
      </c>
      <c r="AE4" s="861">
        <f>-AF4/('Procesy - AS IS'!AG4+AF4)</f>
        <v>-0.33943623587157323</v>
      </c>
      <c r="AF4" s="867">
        <f>(AF5+AF91+AF191+AF291+AF349+AF421)*(1+AF$447)</f>
        <v>1366.3494732766439</v>
      </c>
      <c r="AG4" s="1016">
        <f>(AG5+AG91+AG191+AG291+AG349+AG421)*(1+AG$447)</f>
        <v>476.6914973121859</v>
      </c>
      <c r="AH4" s="804">
        <f>(AH5+AH91+AH191+AH291+AH349+AH421)*(1+AH$447)</f>
        <v>308.83556960981633</v>
      </c>
      <c r="AI4" s="818">
        <f>(AI5+AI91+AI191+AI291+AI349+AI421)</f>
        <v>50.470225551432797</v>
      </c>
      <c r="AK4" s="232"/>
      <c r="AL4"/>
      <c r="AY4" s="227"/>
    </row>
    <row r="5" spans="1:51" x14ac:dyDescent="0.3">
      <c r="A5" s="159"/>
      <c r="B5" s="725" t="s">
        <v>544</v>
      </c>
      <c r="C5" s="726" t="s">
        <v>563</v>
      </c>
      <c r="D5" s="796">
        <f t="shared" ref="D5:G5" si="1">D6*$AF6/($AF5-$AF90)+D20*$AF20/($AF5-$AF90)+D34*$AF34/($AF5-$AF90)+D48*$AF48/($AF5-$AF90)+D62*$AF62/($AF5-$AF90)+D76*$AF76/($AF5-$AF90)</f>
        <v>0</v>
      </c>
      <c r="E5" s="720">
        <f t="shared" si="1"/>
        <v>0</v>
      </c>
      <c r="F5" s="720">
        <f t="shared" si="1"/>
        <v>-5.9648341023987982E-3</v>
      </c>
      <c r="G5" s="721">
        <f t="shared" si="1"/>
        <v>-3.5834410012601583</v>
      </c>
      <c r="H5" s="722"/>
      <c r="I5" s="722"/>
      <c r="J5" s="722"/>
      <c r="K5" s="722"/>
      <c r="L5" s="722"/>
      <c r="M5" s="720"/>
      <c r="N5" s="721">
        <f>N6*$AF6/($AF5-$AF90)+N20*$AF20/($AF5-$AF90)+N34*$AF34/($AF5-$AF90)+N48*$AF48/($AF5-$AF90)+N62*$AF62/($AF5-$AF90)+N76*$AF76/($AF5-$AF90)</f>
        <v>0</v>
      </c>
      <c r="O5" s="721"/>
      <c r="P5" s="721">
        <f t="shared" ref="P5:AB5" si="2">P6*$AF6/($AF5-$AF90)+P20*$AF20/($AF5-$AF90)+P34*$AF34/($AF5-$AF90)+P48*$AF48/($AF5-$AF90)+P62*$AF62/($AF5-$AF90)+P76*$AF76/($AF5-$AF90)</f>
        <v>-5.3839500276586474</v>
      </c>
      <c r="Q5" s="721">
        <f t="shared" si="2"/>
        <v>0</v>
      </c>
      <c r="R5" s="721">
        <f t="shared" si="2"/>
        <v>-4.4863934933922094</v>
      </c>
      <c r="S5" s="721">
        <f t="shared" si="2"/>
        <v>-6.6283866903726176</v>
      </c>
      <c r="T5" s="720">
        <f t="shared" si="2"/>
        <v>-2.0490160444270273</v>
      </c>
      <c r="U5" s="720">
        <f t="shared" si="2"/>
        <v>-1.4361312828474821</v>
      </c>
      <c r="V5" s="720">
        <f t="shared" si="2"/>
        <v>-3.5758794147695236</v>
      </c>
      <c r="W5" s="720">
        <f t="shared" si="2"/>
        <v>-0.33786784017006494</v>
      </c>
      <c r="X5" s="720">
        <f t="shared" si="2"/>
        <v>0</v>
      </c>
      <c r="Y5" s="720">
        <f t="shared" si="2"/>
        <v>-2.3686637782247368</v>
      </c>
      <c r="Z5" s="720">
        <f t="shared" si="2"/>
        <v>-5.7980911132983808E-2</v>
      </c>
      <c r="AA5" s="720">
        <f t="shared" si="2"/>
        <v>-3.8166656892965736E-2</v>
      </c>
      <c r="AB5" s="720">
        <f t="shared" si="2"/>
        <v>-0.21742841674868926</v>
      </c>
      <c r="AC5" s="720">
        <f>AC6*$AF6/($AF5-$AF90)+AC20*$AF20/($AF5-$AF90)+AC34*$AF34/($AF5-$AF90)+AC48*$AF48/($AF5-$AF90)+AC62*$AF62/($AF5-$AF90)+AC76*$AF76/($AF5-$AF90)</f>
        <v>-0.60879956689632986</v>
      </c>
      <c r="AD5" s="875">
        <f>SUM(AD6:AD90)</f>
        <v>-173.75831846707277</v>
      </c>
      <c r="AE5" s="862">
        <f>-SUM(AF6:AF89)/('Procesy - AS IS'!AG5+SUM(AF6:AF89))</f>
        <v>-0.35948852004365583</v>
      </c>
      <c r="AF5" s="868">
        <f>SUM(AF6:AF90)</f>
        <v>335.62885555268787</v>
      </c>
      <c r="AG5" s="1017">
        <f>SUM(AG6:AG90)</f>
        <v>132.2901012962032</v>
      </c>
      <c r="AH5" s="800">
        <f>SUM(AH6:AH90)</f>
        <v>94.498497103614483</v>
      </c>
      <c r="AI5" s="801">
        <f>SUM(AI6:AI90)</f>
        <v>12.16254177966591</v>
      </c>
      <c r="AK5" s="232"/>
      <c r="AL5"/>
      <c r="AY5" s="227"/>
    </row>
    <row r="6" spans="1:51" ht="42.6" customHeight="1" x14ac:dyDescent="0.3">
      <c r="A6" s="159">
        <v>1</v>
      </c>
      <c r="B6" s="736" t="str">
        <f>'Procesy - AS IS'!B6</f>
        <v>Meranie č. 1</v>
      </c>
      <c r="C6" s="739" t="str">
        <f>'Procesy - AS IS'!C6</f>
        <v>AUTOGRAND, a.s., Zaobchádzanie so znečisťujúcimi látkami, 1045/2017</v>
      </c>
      <c r="D6" s="779">
        <f>-'Procesy - AS IS'!D8*'Procesy - ∆'!D19</f>
        <v>0</v>
      </c>
      <c r="E6" s="737">
        <f>-'Procesy - AS IS'!E8*'Procesy - ∆'!E19</f>
        <v>0</v>
      </c>
      <c r="F6" s="737">
        <f>-'Procesy - AS IS'!F8*'Procesy - ∆'!F19</f>
        <v>0</v>
      </c>
      <c r="G6" s="737">
        <f>-'Procesy - AS IS'!G8*'Procesy - ∆'!G19</f>
        <v>-3.5999999999999996</v>
      </c>
      <c r="H6" s="737" t="s">
        <v>568</v>
      </c>
      <c r="I6" s="737" t="s">
        <v>568</v>
      </c>
      <c r="J6" s="737" t="s">
        <v>568</v>
      </c>
      <c r="K6" s="737" t="s">
        <v>568</v>
      </c>
      <c r="L6" s="737" t="s">
        <v>568</v>
      </c>
      <c r="M6" s="737" t="s">
        <v>568</v>
      </c>
      <c r="N6" s="737">
        <f>-'Procesy - AS IS'!N8*'Procesy - ∆'!N19</f>
        <v>0</v>
      </c>
      <c r="O6" s="737" t="s">
        <v>572</v>
      </c>
      <c r="P6" s="737">
        <f>-'Procesy - AS IS'!P8*'Procesy - ∆'!P19</f>
        <v>-7.2</v>
      </c>
      <c r="Q6" s="737">
        <f>-'Procesy - AS IS'!Q8*'Procesy - ∆'!Q19</f>
        <v>0</v>
      </c>
      <c r="R6" s="737">
        <f>-'Procesy - AS IS'!R8*'Procesy - ∆'!R19</f>
        <v>-3.5265306122448985</v>
      </c>
      <c r="S6" s="737">
        <f>-'Procesy - AS IS'!S8*'Procesy - ∆'!S19</f>
        <v>-6.0734693877551029</v>
      </c>
      <c r="T6" s="737">
        <f>-'Procesy - AS IS'!T8*'Procesy - ∆'!T19</f>
        <v>-2.3510204081632655</v>
      </c>
      <c r="U6" s="737">
        <f>-'Procesy - AS IS'!U8*'Procesy - ∆'!U19</f>
        <v>-1.5183673469387755</v>
      </c>
      <c r="V6" s="737">
        <f>-'Procesy - AS IS'!V8*'Procesy - ∆'!V19</f>
        <v>-4</v>
      </c>
      <c r="W6" s="737">
        <f>-'Procesy - AS IS'!W8*'Procesy - ∆'!W19</f>
        <v>-0.30612244897959184</v>
      </c>
      <c r="X6" s="737">
        <f>-'Procesy - AS IS'!X8*'Procesy - ∆'!X19</f>
        <v>0</v>
      </c>
      <c r="Y6" s="737">
        <f>-'Procesy - AS IS'!Y8*'Procesy - ∆'!Y19</f>
        <v>-2.4489795918367352</v>
      </c>
      <c r="Z6" s="737">
        <f>-'Procesy - AS IS'!Z8*'Procesy - ∆'!Z19</f>
        <v>-8.1632653061224497E-2</v>
      </c>
      <c r="AA6" s="737">
        <f>-'Procesy - AS IS'!AA8*'Procesy - ∆'!AA19</f>
        <v>-5.6122448979591844E-2</v>
      </c>
      <c r="AB6" s="737">
        <f>-'Procesy - AS IS'!AB8*'Procesy - ∆'!AB19</f>
        <v>-0.30612244897959184</v>
      </c>
      <c r="AC6" s="737">
        <f>-'Procesy - AS IS'!AC8*'Procesy - ∆'!AC19</f>
        <v>-0.8571428571428571</v>
      </c>
      <c r="AD6" s="820">
        <f>SUM(D6:AC6)</f>
        <v>-32.325510204081638</v>
      </c>
      <c r="AE6" s="798">
        <f>AD6/'Procesy - AS IS'!AD8</f>
        <v>-0.39294219796576541</v>
      </c>
      <c r="AF6" s="869">
        <f>'Procesy - AS IS'!AG8/(1+$AE6)-'Procesy - AS IS'!AG8</f>
        <v>126.86876034408783</v>
      </c>
      <c r="AG6" s="1042">
        <f>'Procesy - AS IS'!AH8/(1+$AE6)-'Procesy - AS IS'!AH8</f>
        <v>46.604850738644515</v>
      </c>
      <c r="AH6" s="800">
        <f>'Procesy - AS IS'!AI8/(1+$AE6)-'Procesy - AS IS'!AI8</f>
        <v>32.364479679614249</v>
      </c>
      <c r="AI6" s="801">
        <f>'Procesy - AS IS'!AJ8/(1+$AE6)-'Procesy - AS IS'!AJ8</f>
        <v>6.4728959359228497</v>
      </c>
      <c r="AK6" s="232"/>
      <c r="AY6" s="227"/>
    </row>
    <row r="7" spans="1:51" hidden="1" outlineLevel="1" x14ac:dyDescent="0.3">
      <c r="A7" s="159"/>
      <c r="B7" s="1190" t="s">
        <v>540</v>
      </c>
      <c r="C7" s="735" t="str">
        <f>'Optimalizačné opatrenia'!$B$2</f>
        <v>Modernizácia</v>
      </c>
      <c r="D7" s="741" t="s">
        <v>542</v>
      </c>
      <c r="E7" s="742" t="s">
        <v>542</v>
      </c>
      <c r="F7" s="742" t="s">
        <v>542</v>
      </c>
      <c r="G7" s="742" t="s">
        <v>541</v>
      </c>
      <c r="H7" s="742"/>
      <c r="I7" s="742"/>
      <c r="J7" s="742"/>
      <c r="K7" s="742"/>
      <c r="L7" s="742"/>
      <c r="M7" s="742"/>
      <c r="N7" s="742" t="s">
        <v>542</v>
      </c>
      <c r="O7" s="742"/>
      <c r="P7" s="742" t="s">
        <v>541</v>
      </c>
      <c r="Q7" s="742" t="str">
        <f t="shared" ref="Q7:Q19" si="3">G7</f>
        <v>A</v>
      </c>
      <c r="R7" s="742" t="s">
        <v>541</v>
      </c>
      <c r="S7" s="742" t="str">
        <f t="shared" ref="S7:S19" si="4">R7</f>
        <v>A</v>
      </c>
      <c r="T7" s="742" t="str">
        <f t="shared" ref="T7:T19" si="5">R7</f>
        <v>A</v>
      </c>
      <c r="U7" s="742" t="str">
        <f t="shared" ref="U7:U19" si="6">G7</f>
        <v>A</v>
      </c>
      <c r="V7" s="742" t="s">
        <v>541</v>
      </c>
      <c r="W7" s="742" t="str">
        <f t="shared" ref="W7:W19" si="7">G7</f>
        <v>A</v>
      </c>
      <c r="X7" s="742" t="str">
        <f t="shared" ref="X7:X19" si="8">G7</f>
        <v>A</v>
      </c>
      <c r="Y7" s="742" t="str">
        <f t="shared" ref="Y7:Y19" si="9">R7</f>
        <v>A</v>
      </c>
      <c r="Z7" s="742" t="str">
        <f t="shared" ref="Z7:Z19" si="10">R7</f>
        <v>A</v>
      </c>
      <c r="AA7" s="742" t="str">
        <f t="shared" ref="AA7:AA18" si="11">$V7</f>
        <v>A</v>
      </c>
      <c r="AB7" s="742" t="str">
        <f t="shared" ref="AB7:AB19" si="12">G7</f>
        <v>A</v>
      </c>
      <c r="AC7" s="742" t="str">
        <f t="shared" ref="AC7:AC19" si="13">U7</f>
        <v>A</v>
      </c>
      <c r="AD7" s="823"/>
      <c r="AE7" s="863"/>
      <c r="AF7" s="870"/>
      <c r="AG7" s="1043"/>
      <c r="AH7" s="802"/>
      <c r="AI7" s="803"/>
    </row>
    <row r="8" spans="1:51" hidden="1" outlineLevel="1" x14ac:dyDescent="0.3">
      <c r="A8" s="159"/>
      <c r="B8" s="1191"/>
      <c r="C8" s="735" t="str">
        <f>'Optimalizačné opatrenia'!$B$3</f>
        <v>Sfunkčnenie</v>
      </c>
      <c r="D8" s="788" t="s">
        <v>542</v>
      </c>
      <c r="E8" s="773" t="s">
        <v>542</v>
      </c>
      <c r="F8" s="773" t="s">
        <v>542</v>
      </c>
      <c r="G8" s="773" t="s">
        <v>542</v>
      </c>
      <c r="H8" s="773"/>
      <c r="I8" s="773"/>
      <c r="J8" s="773"/>
      <c r="K8" s="773"/>
      <c r="L8" s="773"/>
      <c r="M8" s="773"/>
      <c r="N8" s="773" t="s">
        <v>542</v>
      </c>
      <c r="O8" s="773"/>
      <c r="P8" s="773" t="s">
        <v>542</v>
      </c>
      <c r="Q8" s="773" t="str">
        <f t="shared" si="3"/>
        <v>N</v>
      </c>
      <c r="R8" s="773" t="s">
        <v>542</v>
      </c>
      <c r="S8" s="773" t="str">
        <f t="shared" si="4"/>
        <v>N</v>
      </c>
      <c r="T8" s="773" t="str">
        <f t="shared" si="5"/>
        <v>N</v>
      </c>
      <c r="U8" s="773" t="str">
        <f t="shared" si="6"/>
        <v>N</v>
      </c>
      <c r="V8" s="773" t="s">
        <v>542</v>
      </c>
      <c r="W8" s="773" t="str">
        <f t="shared" si="7"/>
        <v>N</v>
      </c>
      <c r="X8" s="773" t="str">
        <f t="shared" si="8"/>
        <v>N</v>
      </c>
      <c r="Y8" s="773" t="str">
        <f t="shared" si="9"/>
        <v>N</v>
      </c>
      <c r="Z8" s="773" t="str">
        <f t="shared" si="10"/>
        <v>N</v>
      </c>
      <c r="AA8" s="773" t="str">
        <f t="shared" si="11"/>
        <v>N</v>
      </c>
      <c r="AB8" s="773" t="str">
        <f t="shared" si="12"/>
        <v>N</v>
      </c>
      <c r="AC8" s="773" t="str">
        <f t="shared" si="13"/>
        <v>N</v>
      </c>
      <c r="AD8" s="876"/>
      <c r="AE8" s="863"/>
      <c r="AF8" s="870"/>
      <c r="AG8" s="1043"/>
      <c r="AH8" s="802"/>
      <c r="AI8" s="803"/>
    </row>
    <row r="9" spans="1:51" hidden="1" outlineLevel="1" x14ac:dyDescent="0.3">
      <c r="A9" s="159"/>
      <c r="B9" s="1191"/>
      <c r="C9" s="735" t="str">
        <f>'Optimalizačné opatrenia'!$B$4</f>
        <v>Zjednotenie</v>
      </c>
      <c r="D9" s="788" t="s">
        <v>542</v>
      </c>
      <c r="E9" s="773" t="s">
        <v>542</v>
      </c>
      <c r="F9" s="773" t="s">
        <v>542</v>
      </c>
      <c r="G9" s="773" t="s">
        <v>541</v>
      </c>
      <c r="H9" s="773"/>
      <c r="I9" s="773"/>
      <c r="J9" s="773"/>
      <c r="K9" s="773"/>
      <c r="L9" s="773"/>
      <c r="M9" s="773"/>
      <c r="N9" s="773" t="s">
        <v>542</v>
      </c>
      <c r="O9" s="773"/>
      <c r="P9" s="773" t="s">
        <v>541</v>
      </c>
      <c r="Q9" s="773" t="str">
        <f t="shared" si="3"/>
        <v>A</v>
      </c>
      <c r="R9" s="773" t="s">
        <v>541</v>
      </c>
      <c r="S9" s="773" t="str">
        <f t="shared" si="4"/>
        <v>A</v>
      </c>
      <c r="T9" s="773" t="str">
        <f t="shared" si="5"/>
        <v>A</v>
      </c>
      <c r="U9" s="773" t="str">
        <f t="shared" si="6"/>
        <v>A</v>
      </c>
      <c r="V9" s="773" t="s">
        <v>541</v>
      </c>
      <c r="W9" s="773" t="str">
        <f t="shared" si="7"/>
        <v>A</v>
      </c>
      <c r="X9" s="773" t="str">
        <f t="shared" si="8"/>
        <v>A</v>
      </c>
      <c r="Y9" s="773" t="str">
        <f t="shared" si="9"/>
        <v>A</v>
      </c>
      <c r="Z9" s="773" t="str">
        <f t="shared" si="10"/>
        <v>A</v>
      </c>
      <c r="AA9" s="773" t="str">
        <f t="shared" si="11"/>
        <v>A</v>
      </c>
      <c r="AB9" s="773" t="str">
        <f t="shared" si="12"/>
        <v>A</v>
      </c>
      <c r="AC9" s="773" t="str">
        <f t="shared" si="13"/>
        <v>A</v>
      </c>
      <c r="AD9" s="876"/>
      <c r="AE9" s="863"/>
      <c r="AF9" s="870"/>
      <c r="AG9" s="1043"/>
      <c r="AH9" s="802"/>
      <c r="AI9" s="803"/>
    </row>
    <row r="10" spans="1:51" hidden="1" outlineLevel="1" x14ac:dyDescent="0.3">
      <c r="A10" s="159"/>
      <c r="B10" s="1191"/>
      <c r="C10" s="735" t="str">
        <f>'Optimalizačné opatrenia'!$B$5</f>
        <v>Centralizácia</v>
      </c>
      <c r="D10" s="788" t="s">
        <v>542</v>
      </c>
      <c r="E10" s="773" t="s">
        <v>542</v>
      </c>
      <c r="F10" s="773" t="s">
        <v>542</v>
      </c>
      <c r="G10" s="773" t="s">
        <v>541</v>
      </c>
      <c r="H10" s="773"/>
      <c r="I10" s="773"/>
      <c r="J10" s="773"/>
      <c r="K10" s="773"/>
      <c r="L10" s="773"/>
      <c r="M10" s="773"/>
      <c r="N10" s="773" t="s">
        <v>542</v>
      </c>
      <c r="O10" s="773"/>
      <c r="P10" s="773" t="s">
        <v>541</v>
      </c>
      <c r="Q10" s="773" t="str">
        <f t="shared" si="3"/>
        <v>A</v>
      </c>
      <c r="R10" s="773" t="s">
        <v>541</v>
      </c>
      <c r="S10" s="773" t="str">
        <f t="shared" si="4"/>
        <v>A</v>
      </c>
      <c r="T10" s="773" t="str">
        <f t="shared" si="5"/>
        <v>A</v>
      </c>
      <c r="U10" s="773" t="str">
        <f t="shared" si="6"/>
        <v>A</v>
      </c>
      <c r="V10" s="773" t="s">
        <v>541</v>
      </c>
      <c r="W10" s="773" t="str">
        <f t="shared" si="7"/>
        <v>A</v>
      </c>
      <c r="X10" s="773" t="str">
        <f t="shared" si="8"/>
        <v>A</v>
      </c>
      <c r="Y10" s="773" t="str">
        <f t="shared" si="9"/>
        <v>A</v>
      </c>
      <c r="Z10" s="773" t="str">
        <f t="shared" si="10"/>
        <v>A</v>
      </c>
      <c r="AA10" s="773" t="str">
        <f t="shared" si="11"/>
        <v>A</v>
      </c>
      <c r="AB10" s="773" t="str">
        <f t="shared" si="12"/>
        <v>A</v>
      </c>
      <c r="AC10" s="773" t="str">
        <f t="shared" si="13"/>
        <v>A</v>
      </c>
      <c r="AD10" s="876"/>
      <c r="AE10" s="863"/>
      <c r="AF10" s="870"/>
      <c r="AG10" s="1043"/>
      <c r="AH10" s="802"/>
      <c r="AI10" s="803"/>
    </row>
    <row r="11" spans="1:51" hidden="1" outlineLevel="1" x14ac:dyDescent="0.3">
      <c r="A11" s="159"/>
      <c r="B11" s="1191"/>
      <c r="C11" s="735" t="str">
        <f>'Optimalizačné opatrenia'!$B$6</f>
        <v>Elektronizácia</v>
      </c>
      <c r="D11" s="788" t="s">
        <v>542</v>
      </c>
      <c r="E11" s="773" t="s">
        <v>542</v>
      </c>
      <c r="F11" s="773" t="s">
        <v>542</v>
      </c>
      <c r="G11" s="773" t="s">
        <v>541</v>
      </c>
      <c r="H11" s="773"/>
      <c r="I11" s="773"/>
      <c r="J11" s="773"/>
      <c r="K11" s="773"/>
      <c r="L11" s="773"/>
      <c r="M11" s="773"/>
      <c r="N11" s="773" t="s">
        <v>542</v>
      </c>
      <c r="O11" s="773"/>
      <c r="P11" s="773" t="s">
        <v>541</v>
      </c>
      <c r="Q11" s="773" t="str">
        <f t="shared" si="3"/>
        <v>A</v>
      </c>
      <c r="R11" s="773" t="s">
        <v>541</v>
      </c>
      <c r="S11" s="773" t="str">
        <f t="shared" si="4"/>
        <v>A</v>
      </c>
      <c r="T11" s="773" t="str">
        <f t="shared" si="5"/>
        <v>A</v>
      </c>
      <c r="U11" s="773" t="str">
        <f t="shared" si="6"/>
        <v>A</v>
      </c>
      <c r="V11" s="773" t="s">
        <v>541</v>
      </c>
      <c r="W11" s="773" t="str">
        <f t="shared" si="7"/>
        <v>A</v>
      </c>
      <c r="X11" s="773" t="str">
        <f t="shared" si="8"/>
        <v>A</v>
      </c>
      <c r="Y11" s="773" t="str">
        <f t="shared" si="9"/>
        <v>A</v>
      </c>
      <c r="Z11" s="773" t="str">
        <f t="shared" si="10"/>
        <v>A</v>
      </c>
      <c r="AA11" s="773" t="str">
        <f t="shared" si="11"/>
        <v>A</v>
      </c>
      <c r="AB11" s="773" t="str">
        <f t="shared" si="12"/>
        <v>A</v>
      </c>
      <c r="AC11" s="773" t="str">
        <f t="shared" si="13"/>
        <v>A</v>
      </c>
      <c r="AD11" s="876"/>
      <c r="AE11" s="863"/>
      <c r="AF11" s="870"/>
      <c r="AG11" s="1043"/>
      <c r="AH11" s="802"/>
      <c r="AI11" s="803"/>
    </row>
    <row r="12" spans="1:51" hidden="1" outlineLevel="1" x14ac:dyDescent="0.3">
      <c r="A12" s="159"/>
      <c r="B12" s="1191"/>
      <c r="C12" s="735" t="str">
        <f>'Optimalizačné opatrenia'!$B$7</f>
        <v>Automatizácia</v>
      </c>
      <c r="D12" s="788" t="s">
        <v>542</v>
      </c>
      <c r="E12" s="773" t="s">
        <v>542</v>
      </c>
      <c r="F12" s="773" t="s">
        <v>542</v>
      </c>
      <c r="G12" s="773" t="s">
        <v>541</v>
      </c>
      <c r="H12" s="773"/>
      <c r="I12" s="773"/>
      <c r="J12" s="773"/>
      <c r="K12" s="773"/>
      <c r="L12" s="773"/>
      <c r="M12" s="773"/>
      <c r="N12" s="773" t="s">
        <v>542</v>
      </c>
      <c r="O12" s="773"/>
      <c r="P12" s="773" t="s">
        <v>541</v>
      </c>
      <c r="Q12" s="773" t="str">
        <f t="shared" si="3"/>
        <v>A</v>
      </c>
      <c r="R12" s="773" t="s">
        <v>541</v>
      </c>
      <c r="S12" s="773" t="str">
        <f t="shared" si="4"/>
        <v>A</v>
      </c>
      <c r="T12" s="773" t="str">
        <f t="shared" si="5"/>
        <v>A</v>
      </c>
      <c r="U12" s="773" t="str">
        <f t="shared" si="6"/>
        <v>A</v>
      </c>
      <c r="V12" s="773" t="s">
        <v>541</v>
      </c>
      <c r="W12" s="773" t="str">
        <f t="shared" si="7"/>
        <v>A</v>
      </c>
      <c r="X12" s="773" t="str">
        <f t="shared" si="8"/>
        <v>A</v>
      </c>
      <c r="Y12" s="773" t="str">
        <f t="shared" si="9"/>
        <v>A</v>
      </c>
      <c r="Z12" s="773" t="str">
        <f t="shared" si="10"/>
        <v>A</v>
      </c>
      <c r="AA12" s="773" t="str">
        <f t="shared" si="11"/>
        <v>A</v>
      </c>
      <c r="AB12" s="773" t="str">
        <f t="shared" si="12"/>
        <v>A</v>
      </c>
      <c r="AC12" s="773" t="str">
        <f t="shared" si="13"/>
        <v>A</v>
      </c>
      <c r="AD12" s="876"/>
      <c r="AE12" s="863"/>
      <c r="AF12" s="870"/>
      <c r="AG12" s="1043"/>
      <c r="AH12" s="802"/>
      <c r="AI12" s="803"/>
    </row>
    <row r="13" spans="1:51" hidden="1" outlineLevel="1" x14ac:dyDescent="0.3">
      <c r="A13" s="159"/>
      <c r="B13" s="1191"/>
      <c r="C13" s="735" t="str">
        <f>'Optimalizačné opatrenia'!$B$8</f>
        <v>Bezpečnosť</v>
      </c>
      <c r="D13" s="788" t="s">
        <v>542</v>
      </c>
      <c r="E13" s="773" t="s">
        <v>542</v>
      </c>
      <c r="F13" s="773" t="s">
        <v>542</v>
      </c>
      <c r="G13" s="773" t="s">
        <v>541</v>
      </c>
      <c r="H13" s="773"/>
      <c r="I13" s="773"/>
      <c r="J13" s="773"/>
      <c r="K13" s="773"/>
      <c r="L13" s="773"/>
      <c r="M13" s="773"/>
      <c r="N13" s="773" t="s">
        <v>542</v>
      </c>
      <c r="O13" s="773"/>
      <c r="P13" s="773" t="s">
        <v>541</v>
      </c>
      <c r="Q13" s="773" t="str">
        <f t="shared" si="3"/>
        <v>A</v>
      </c>
      <c r="R13" s="773" t="s">
        <v>541</v>
      </c>
      <c r="S13" s="773" t="str">
        <f t="shared" si="4"/>
        <v>A</v>
      </c>
      <c r="T13" s="773" t="str">
        <f t="shared" si="5"/>
        <v>A</v>
      </c>
      <c r="U13" s="773" t="str">
        <f t="shared" si="6"/>
        <v>A</v>
      </c>
      <c r="V13" s="773" t="s">
        <v>541</v>
      </c>
      <c r="W13" s="773" t="str">
        <f t="shared" si="7"/>
        <v>A</v>
      </c>
      <c r="X13" s="773" t="str">
        <f t="shared" si="8"/>
        <v>A</v>
      </c>
      <c r="Y13" s="773" t="str">
        <f t="shared" si="9"/>
        <v>A</v>
      </c>
      <c r="Z13" s="773" t="str">
        <f t="shared" si="10"/>
        <v>A</v>
      </c>
      <c r="AA13" s="773" t="str">
        <f t="shared" si="11"/>
        <v>A</v>
      </c>
      <c r="AB13" s="773" t="str">
        <f t="shared" si="12"/>
        <v>A</v>
      </c>
      <c r="AC13" s="773" t="str">
        <f t="shared" si="13"/>
        <v>A</v>
      </c>
      <c r="AD13" s="876"/>
      <c r="AE13" s="863"/>
      <c r="AF13" s="870"/>
      <c r="AG13" s="1043"/>
      <c r="AH13" s="802"/>
      <c r="AI13" s="803"/>
    </row>
    <row r="14" spans="1:51" hidden="1" outlineLevel="1" x14ac:dyDescent="0.3">
      <c r="A14" s="159"/>
      <c r="B14" s="1191"/>
      <c r="C14" s="735" t="str">
        <f>'Optimalizačné opatrenia'!$B$9</f>
        <v>Auditovateľnosť</v>
      </c>
      <c r="D14" s="788" t="s">
        <v>542</v>
      </c>
      <c r="E14" s="773" t="s">
        <v>542</v>
      </c>
      <c r="F14" s="773" t="s">
        <v>542</v>
      </c>
      <c r="G14" s="773" t="s">
        <v>541</v>
      </c>
      <c r="H14" s="773"/>
      <c r="I14" s="773"/>
      <c r="J14" s="773"/>
      <c r="K14" s="773"/>
      <c r="L14" s="773"/>
      <c r="M14" s="773"/>
      <c r="N14" s="773" t="s">
        <v>542</v>
      </c>
      <c r="O14" s="773"/>
      <c r="P14" s="773" t="s">
        <v>541</v>
      </c>
      <c r="Q14" s="773" t="str">
        <f t="shared" si="3"/>
        <v>A</v>
      </c>
      <c r="R14" s="773" t="s">
        <v>541</v>
      </c>
      <c r="S14" s="773" t="str">
        <f t="shared" si="4"/>
        <v>A</v>
      </c>
      <c r="T14" s="773" t="str">
        <f t="shared" si="5"/>
        <v>A</v>
      </c>
      <c r="U14" s="773" t="str">
        <f t="shared" si="6"/>
        <v>A</v>
      </c>
      <c r="V14" s="773" t="s">
        <v>541</v>
      </c>
      <c r="W14" s="773" t="str">
        <f t="shared" si="7"/>
        <v>A</v>
      </c>
      <c r="X14" s="773" t="str">
        <f t="shared" si="8"/>
        <v>A</v>
      </c>
      <c r="Y14" s="773" t="str">
        <f t="shared" si="9"/>
        <v>A</v>
      </c>
      <c r="Z14" s="773" t="str">
        <f t="shared" si="10"/>
        <v>A</v>
      </c>
      <c r="AA14" s="773" t="str">
        <f t="shared" si="11"/>
        <v>A</v>
      </c>
      <c r="AB14" s="773" t="str">
        <f t="shared" si="12"/>
        <v>A</v>
      </c>
      <c r="AC14" s="773" t="str">
        <f t="shared" si="13"/>
        <v>A</v>
      </c>
      <c r="AD14" s="876"/>
      <c r="AE14" s="863"/>
      <c r="AF14" s="870"/>
      <c r="AG14" s="1043"/>
      <c r="AH14" s="802"/>
      <c r="AI14" s="803"/>
    </row>
    <row r="15" spans="1:51" hidden="1" outlineLevel="1" x14ac:dyDescent="0.3">
      <c r="A15" s="159"/>
      <c r="B15" s="1191"/>
      <c r="C15" s="735" t="str">
        <f>'Optimalizačné opatrenia'!$B$10</f>
        <v>Transparentnosť</v>
      </c>
      <c r="D15" s="788" t="s">
        <v>542</v>
      </c>
      <c r="E15" s="773" t="s">
        <v>542</v>
      </c>
      <c r="F15" s="773" t="s">
        <v>542</v>
      </c>
      <c r="G15" s="773" t="s">
        <v>542</v>
      </c>
      <c r="H15" s="773"/>
      <c r="I15" s="773"/>
      <c r="J15" s="773"/>
      <c r="K15" s="773"/>
      <c r="L15" s="773"/>
      <c r="M15" s="773"/>
      <c r="N15" s="773" t="s">
        <v>542</v>
      </c>
      <c r="O15" s="773"/>
      <c r="P15" s="773" t="s">
        <v>541</v>
      </c>
      <c r="Q15" s="773" t="str">
        <f t="shared" si="3"/>
        <v>N</v>
      </c>
      <c r="R15" s="773" t="s">
        <v>542</v>
      </c>
      <c r="S15" s="773" t="str">
        <f t="shared" si="4"/>
        <v>N</v>
      </c>
      <c r="T15" s="773" t="str">
        <f t="shared" si="5"/>
        <v>N</v>
      </c>
      <c r="U15" s="773" t="str">
        <f t="shared" si="6"/>
        <v>N</v>
      </c>
      <c r="V15" s="773" t="s">
        <v>541</v>
      </c>
      <c r="W15" s="773" t="str">
        <f t="shared" si="7"/>
        <v>N</v>
      </c>
      <c r="X15" s="773" t="str">
        <f t="shared" si="8"/>
        <v>N</v>
      </c>
      <c r="Y15" s="773" t="str">
        <f t="shared" si="9"/>
        <v>N</v>
      </c>
      <c r="Z15" s="773" t="str">
        <f t="shared" si="10"/>
        <v>N</v>
      </c>
      <c r="AA15" s="773" t="str">
        <f t="shared" si="11"/>
        <v>A</v>
      </c>
      <c r="AB15" s="773" t="str">
        <f t="shared" si="12"/>
        <v>N</v>
      </c>
      <c r="AC15" s="773" t="str">
        <f t="shared" si="13"/>
        <v>N</v>
      </c>
      <c r="AD15" s="876"/>
      <c r="AE15" s="863"/>
      <c r="AF15" s="870"/>
      <c r="AG15" s="1043"/>
      <c r="AH15" s="802"/>
      <c r="AI15" s="803"/>
    </row>
    <row r="16" spans="1:51" hidden="1" outlineLevel="1" x14ac:dyDescent="0.3">
      <c r="A16" s="159"/>
      <c r="B16" s="1191"/>
      <c r="C16" s="735" t="str">
        <f>'Optimalizačné opatrenia'!$B$11</f>
        <v>Analyzovatelnosť</v>
      </c>
      <c r="D16" s="788" t="s">
        <v>542</v>
      </c>
      <c r="E16" s="773" t="s">
        <v>542</v>
      </c>
      <c r="F16" s="773" t="s">
        <v>542</v>
      </c>
      <c r="G16" s="773" t="s">
        <v>541</v>
      </c>
      <c r="H16" s="773"/>
      <c r="I16" s="773"/>
      <c r="J16" s="773"/>
      <c r="K16" s="773"/>
      <c r="L16" s="773"/>
      <c r="M16" s="773"/>
      <c r="N16" s="773" t="s">
        <v>542</v>
      </c>
      <c r="O16" s="773"/>
      <c r="P16" s="773" t="s">
        <v>541</v>
      </c>
      <c r="Q16" s="773" t="str">
        <f t="shared" si="3"/>
        <v>A</v>
      </c>
      <c r="R16" s="773" t="s">
        <v>541</v>
      </c>
      <c r="S16" s="773" t="str">
        <f t="shared" si="4"/>
        <v>A</v>
      </c>
      <c r="T16" s="773" t="str">
        <f t="shared" si="5"/>
        <v>A</v>
      </c>
      <c r="U16" s="773" t="str">
        <f t="shared" si="6"/>
        <v>A</v>
      </c>
      <c r="V16" s="773" t="s">
        <v>541</v>
      </c>
      <c r="W16" s="773" t="str">
        <f t="shared" si="7"/>
        <v>A</v>
      </c>
      <c r="X16" s="773" t="str">
        <f t="shared" si="8"/>
        <v>A</v>
      </c>
      <c r="Y16" s="773" t="str">
        <f t="shared" si="9"/>
        <v>A</v>
      </c>
      <c r="Z16" s="773" t="str">
        <f t="shared" si="10"/>
        <v>A</v>
      </c>
      <c r="AA16" s="773" t="str">
        <f t="shared" si="11"/>
        <v>A</v>
      </c>
      <c r="AB16" s="773" t="str">
        <f t="shared" si="12"/>
        <v>A</v>
      </c>
      <c r="AC16" s="773" t="str">
        <f t="shared" si="13"/>
        <v>A</v>
      </c>
      <c r="AD16" s="876"/>
      <c r="AE16" s="863"/>
      <c r="AF16" s="870"/>
      <c r="AG16" s="1043"/>
      <c r="AH16" s="802"/>
      <c r="AI16" s="803"/>
    </row>
    <row r="17" spans="1:51" hidden="1" outlineLevel="1" x14ac:dyDescent="0.3">
      <c r="A17" s="159"/>
      <c r="B17" s="1191"/>
      <c r="C17" s="735" t="str">
        <f>'Optimalizačné opatrenia'!$B$12</f>
        <v>Integrácia</v>
      </c>
      <c r="D17" s="788" t="s">
        <v>542</v>
      </c>
      <c r="E17" s="773" t="s">
        <v>542</v>
      </c>
      <c r="F17" s="773" t="s">
        <v>542</v>
      </c>
      <c r="G17" s="773" t="s">
        <v>541</v>
      </c>
      <c r="H17" s="773"/>
      <c r="I17" s="773"/>
      <c r="J17" s="773"/>
      <c r="K17" s="773"/>
      <c r="L17" s="773"/>
      <c r="M17" s="773"/>
      <c r="N17" s="773" t="s">
        <v>542</v>
      </c>
      <c r="O17" s="773"/>
      <c r="P17" s="773" t="s">
        <v>541</v>
      </c>
      <c r="Q17" s="773" t="str">
        <f t="shared" si="3"/>
        <v>A</v>
      </c>
      <c r="R17" s="773" t="s">
        <v>541</v>
      </c>
      <c r="S17" s="773" t="str">
        <f t="shared" si="4"/>
        <v>A</v>
      </c>
      <c r="T17" s="773" t="str">
        <f t="shared" si="5"/>
        <v>A</v>
      </c>
      <c r="U17" s="773" t="str">
        <f t="shared" si="6"/>
        <v>A</v>
      </c>
      <c r="V17" s="773" t="s">
        <v>541</v>
      </c>
      <c r="W17" s="773" t="str">
        <f t="shared" si="7"/>
        <v>A</v>
      </c>
      <c r="X17" s="773" t="str">
        <f t="shared" si="8"/>
        <v>A</v>
      </c>
      <c r="Y17" s="773" t="str">
        <f t="shared" si="9"/>
        <v>A</v>
      </c>
      <c r="Z17" s="773" t="str">
        <f t="shared" si="10"/>
        <v>A</v>
      </c>
      <c r="AA17" s="773" t="str">
        <f t="shared" si="11"/>
        <v>A</v>
      </c>
      <c r="AB17" s="773" t="str">
        <f t="shared" si="12"/>
        <v>A</v>
      </c>
      <c r="AC17" s="773" t="str">
        <f t="shared" si="13"/>
        <v>A</v>
      </c>
      <c r="AD17" s="876"/>
      <c r="AE17" s="863"/>
      <c r="AF17" s="870"/>
      <c r="AG17" s="1043"/>
      <c r="AH17" s="802"/>
      <c r="AI17" s="803"/>
    </row>
    <row r="18" spans="1:51" hidden="1" outlineLevel="1" x14ac:dyDescent="0.3">
      <c r="A18" s="159"/>
      <c r="B18" s="1191"/>
      <c r="C18" s="740" t="str">
        <f>'Optimalizačné opatrenia'!$B$13</f>
        <v>Proaktivita</v>
      </c>
      <c r="D18" s="788" t="s">
        <v>542</v>
      </c>
      <c r="E18" s="773" t="s">
        <v>542</v>
      </c>
      <c r="F18" s="773" t="s">
        <v>542</v>
      </c>
      <c r="G18" s="773" t="s">
        <v>542</v>
      </c>
      <c r="H18" s="773"/>
      <c r="I18" s="773"/>
      <c r="J18" s="773"/>
      <c r="K18" s="773"/>
      <c r="L18" s="773"/>
      <c r="M18" s="773"/>
      <c r="N18" s="773" t="s">
        <v>542</v>
      </c>
      <c r="O18" s="773"/>
      <c r="P18" s="773" t="s">
        <v>542</v>
      </c>
      <c r="Q18" s="773" t="str">
        <f t="shared" si="3"/>
        <v>N</v>
      </c>
      <c r="R18" s="773" t="s">
        <v>541</v>
      </c>
      <c r="S18" s="773" t="str">
        <f t="shared" si="4"/>
        <v>A</v>
      </c>
      <c r="T18" s="773" t="str">
        <f t="shared" si="5"/>
        <v>A</v>
      </c>
      <c r="U18" s="773" t="str">
        <f t="shared" si="6"/>
        <v>N</v>
      </c>
      <c r="V18" s="773" t="s">
        <v>541</v>
      </c>
      <c r="W18" s="773" t="str">
        <f t="shared" si="7"/>
        <v>N</v>
      </c>
      <c r="X18" s="773" t="str">
        <f t="shared" si="8"/>
        <v>N</v>
      </c>
      <c r="Y18" s="773" t="str">
        <f t="shared" si="9"/>
        <v>A</v>
      </c>
      <c r="Z18" s="773" t="str">
        <f t="shared" si="10"/>
        <v>A</v>
      </c>
      <c r="AA18" s="773" t="str">
        <f t="shared" si="11"/>
        <v>A</v>
      </c>
      <c r="AB18" s="773" t="str">
        <f t="shared" si="12"/>
        <v>N</v>
      </c>
      <c r="AC18" s="773" t="str">
        <f t="shared" si="13"/>
        <v>N</v>
      </c>
      <c r="AD18" s="876"/>
      <c r="AE18" s="863"/>
      <c r="AF18" s="870"/>
      <c r="AG18" s="1043"/>
      <c r="AH18" s="802"/>
      <c r="AI18" s="803"/>
    </row>
    <row r="19" spans="1:51" hidden="1" outlineLevel="1" x14ac:dyDescent="0.3">
      <c r="A19" s="159"/>
      <c r="B19" s="790"/>
      <c r="C19" s="792" t="s">
        <v>550</v>
      </c>
      <c r="D19" s="793">
        <v>0</v>
      </c>
      <c r="E19" s="791">
        <v>0</v>
      </c>
      <c r="F19" s="794">
        <v>0</v>
      </c>
      <c r="G19" s="794">
        <v>0.3</v>
      </c>
      <c r="H19" s="794"/>
      <c r="I19" s="794"/>
      <c r="J19" s="794"/>
      <c r="K19" s="794"/>
      <c r="L19" s="794"/>
      <c r="M19" s="794"/>
      <c r="N19" s="794">
        <v>0</v>
      </c>
      <c r="O19" s="794"/>
      <c r="P19" s="794">
        <v>0.45</v>
      </c>
      <c r="Q19" s="794">
        <f t="shared" si="3"/>
        <v>0.3</v>
      </c>
      <c r="R19" s="794">
        <v>0.4</v>
      </c>
      <c r="S19" s="794">
        <f t="shared" si="4"/>
        <v>0.4</v>
      </c>
      <c r="T19" s="794">
        <f t="shared" si="5"/>
        <v>0.4</v>
      </c>
      <c r="U19" s="794">
        <f t="shared" si="6"/>
        <v>0.3</v>
      </c>
      <c r="V19" s="794">
        <v>0.5</v>
      </c>
      <c r="W19" s="794">
        <f t="shared" si="7"/>
        <v>0.3</v>
      </c>
      <c r="X19" s="794">
        <f t="shared" si="8"/>
        <v>0.3</v>
      </c>
      <c r="Y19" s="794">
        <f t="shared" si="9"/>
        <v>0.4</v>
      </c>
      <c r="Z19" s="794">
        <f t="shared" si="10"/>
        <v>0.4</v>
      </c>
      <c r="AA19" s="794">
        <v>0.55000000000000004</v>
      </c>
      <c r="AB19" s="794">
        <f t="shared" si="12"/>
        <v>0.3</v>
      </c>
      <c r="AC19" s="794">
        <f t="shared" si="13"/>
        <v>0.3</v>
      </c>
      <c r="AD19" s="877"/>
      <c r="AE19" s="864"/>
      <c r="AF19" s="871"/>
      <c r="AG19" s="1044"/>
      <c r="AH19" s="805"/>
      <c r="AI19" s="806"/>
    </row>
    <row r="20" spans="1:51" ht="42.6" customHeight="1" collapsed="1" x14ac:dyDescent="0.3">
      <c r="A20" s="159">
        <f ca="1">OFFSET(A20,-14,0)+1</f>
        <v>2</v>
      </c>
      <c r="B20" s="234" t="str">
        <f ca="1">'Procesy - AS IS'!B9</f>
        <v>Meranie č. 2</v>
      </c>
      <c r="C20" s="718" t="str">
        <f>'Procesy - AS IS'!C9</f>
        <v>ETI ELB, s.r.o. Báhoň, Nakladanie s vodami a prevádzku a účinnosť ČOV, 6419/2017</v>
      </c>
      <c r="D20" s="796">
        <f>-'Procesy - AS IS'!D11*D33</f>
        <v>0</v>
      </c>
      <c r="E20" s="721">
        <f>-'Procesy - AS IS'!E11*E33</f>
        <v>0</v>
      </c>
      <c r="F20" s="721">
        <f>-'Procesy - AS IS'!F11*F33</f>
        <v>0</v>
      </c>
      <c r="G20" s="721">
        <f>-'Procesy - AS IS'!G11*G33</f>
        <v>-3.5999999999999996</v>
      </c>
      <c r="H20" s="721" t="s">
        <v>568</v>
      </c>
      <c r="I20" s="721" t="s">
        <v>568</v>
      </c>
      <c r="J20" s="721" t="s">
        <v>568</v>
      </c>
      <c r="K20" s="721" t="s">
        <v>568</v>
      </c>
      <c r="L20" s="721" t="s">
        <v>568</v>
      </c>
      <c r="M20" s="721" t="s">
        <v>568</v>
      </c>
      <c r="N20" s="721">
        <f>-'Procesy - AS IS'!N11*N33</f>
        <v>0</v>
      </c>
      <c r="O20" s="721" t="s">
        <v>572</v>
      </c>
      <c r="P20" s="721">
        <f>-'Procesy - AS IS'!P11*P33</f>
        <v>-7.2</v>
      </c>
      <c r="Q20" s="721">
        <f>-'Procesy - AS IS'!Q11*Q33</f>
        <v>0</v>
      </c>
      <c r="R20" s="721">
        <f>-'Procesy - AS IS'!R11*R33</f>
        <v>-3.5027027027027025</v>
      </c>
      <c r="S20" s="721">
        <f>-'Procesy - AS IS'!S11*S33</f>
        <v>-6.0972972972972972</v>
      </c>
      <c r="T20" s="721">
        <f>-'Procesy - AS IS'!T11*T33</f>
        <v>-2.3351351351351353</v>
      </c>
      <c r="U20" s="721">
        <f>-'Procesy - AS IS'!U11*U33</f>
        <v>-1.5243243243243241</v>
      </c>
      <c r="V20" s="721">
        <f>-'Procesy - AS IS'!V11*V33</f>
        <v>-4</v>
      </c>
      <c r="W20" s="721">
        <f>-'Procesy - AS IS'!W11*W33</f>
        <v>-0.30810810810810807</v>
      </c>
      <c r="X20" s="721">
        <f>-'Procesy - AS IS'!X11*X33</f>
        <v>0</v>
      </c>
      <c r="Y20" s="721">
        <f>-'Procesy - AS IS'!Y11*Y33</f>
        <v>-2.4648648648648646</v>
      </c>
      <c r="Z20" s="721">
        <f>-'Procesy - AS IS'!Z11*Z33</f>
        <v>-7.567567567567568E-2</v>
      </c>
      <c r="AA20" s="721">
        <f>-'Procesy - AS IS'!AA11*AA33</f>
        <v>-4.72972972972973E-2</v>
      </c>
      <c r="AB20" s="721">
        <f>-'Procesy - AS IS'!AB11*AB33</f>
        <v>-0.28378378378378383</v>
      </c>
      <c r="AC20" s="721">
        <f>-'Procesy - AS IS'!AC11*AC33</f>
        <v>-0.79459459459459458</v>
      </c>
      <c r="AD20" s="824">
        <f>SUM(D20:AC20)</f>
        <v>-32.233783783783785</v>
      </c>
      <c r="AE20" s="798">
        <f>AD20/'Procesy - AS IS'!AD11</f>
        <v>-0.39315971649909343</v>
      </c>
      <c r="AF20" s="869">
        <f>'Procesy - AS IS'!AG11/(1+$AE20)-'Procesy - AS IS'!AG11</f>
        <v>95.886248200559521</v>
      </c>
      <c r="AG20" s="1042">
        <f>'Procesy - AS IS'!AH11/(1+$AE20)-'Procesy - AS IS'!AH11</f>
        <v>34.985522992096037</v>
      </c>
      <c r="AH20" s="800">
        <f>'Procesy - AS IS'!AI11/(1+$AE20)-'Procesy - AS IS'!AI11</f>
        <v>24.619442105549062</v>
      </c>
      <c r="AI20" s="801">
        <f>'Procesy - AS IS'!AJ11/(1+$AE20)-'Procesy - AS IS'!AJ11</f>
        <v>4.5351603878643019</v>
      </c>
      <c r="AK20" s="232"/>
      <c r="AY20" s="227"/>
    </row>
    <row r="21" spans="1:51" hidden="1" outlineLevel="1" x14ac:dyDescent="0.3">
      <c r="A21" s="159"/>
      <c r="B21" s="1190" t="s">
        <v>540</v>
      </c>
      <c r="C21" s="735" t="str">
        <f>'Optimalizačné opatrenia'!$B$2</f>
        <v>Modernizácia</v>
      </c>
      <c r="D21" s="788" t="s">
        <v>542</v>
      </c>
      <c r="E21" s="773" t="s">
        <v>542</v>
      </c>
      <c r="F21" s="773" t="s">
        <v>542</v>
      </c>
      <c r="G21" s="773" t="str">
        <f t="shared" ref="G21:G33" si="14">G7</f>
        <v>A</v>
      </c>
      <c r="H21" s="773"/>
      <c r="I21" s="773"/>
      <c r="J21" s="773"/>
      <c r="K21" s="773"/>
      <c r="L21" s="773"/>
      <c r="M21" s="773"/>
      <c r="N21" s="773" t="s">
        <v>542</v>
      </c>
      <c r="O21" s="773"/>
      <c r="P21" s="773" t="str">
        <f t="shared" ref="P21:P33" si="15">P7</f>
        <v>A</v>
      </c>
      <c r="Q21" s="773" t="str">
        <f t="shared" ref="Q21:Q33" si="16">G21</f>
        <v>A</v>
      </c>
      <c r="R21" s="773" t="str">
        <f t="shared" ref="R21:R33" si="17">R7</f>
        <v>A</v>
      </c>
      <c r="S21" s="773" t="str">
        <f t="shared" ref="S21:S33" si="18">R21</f>
        <v>A</v>
      </c>
      <c r="T21" s="773" t="str">
        <f t="shared" ref="T21:T33" si="19">R21</f>
        <v>A</v>
      </c>
      <c r="U21" s="773" t="str">
        <f t="shared" ref="U21:U33" si="20">G21</f>
        <v>A</v>
      </c>
      <c r="V21" s="773" t="str">
        <f t="shared" ref="V21:V33" si="21">V7</f>
        <v>A</v>
      </c>
      <c r="W21" s="773" t="str">
        <f t="shared" ref="W21:W33" si="22">G21</f>
        <v>A</v>
      </c>
      <c r="X21" s="773" t="str">
        <f t="shared" ref="X21:X33" si="23">G21</f>
        <v>A</v>
      </c>
      <c r="Y21" s="773" t="str">
        <f t="shared" ref="Y21:Y33" si="24">R21</f>
        <v>A</v>
      </c>
      <c r="Z21" s="773" t="str">
        <f t="shared" ref="Z21:Z33" si="25">R21</f>
        <v>A</v>
      </c>
      <c r="AA21" s="773" t="str">
        <f t="shared" ref="AA21:AA33" si="26">$V21</f>
        <v>A</v>
      </c>
      <c r="AB21" s="773" t="str">
        <f t="shared" ref="AB21:AB33" si="27">G21</f>
        <v>A</v>
      </c>
      <c r="AC21" s="773" t="str">
        <f t="shared" ref="AC21:AC33" si="28">G21</f>
        <v>A</v>
      </c>
      <c r="AD21" s="876"/>
      <c r="AE21" s="863"/>
      <c r="AF21" s="870"/>
      <c r="AG21" s="1043"/>
      <c r="AH21" s="802"/>
      <c r="AI21" s="803"/>
    </row>
    <row r="22" spans="1:51" hidden="1" outlineLevel="1" x14ac:dyDescent="0.3">
      <c r="A22" s="159"/>
      <c r="B22" s="1191"/>
      <c r="C22" s="735" t="str">
        <f>'Optimalizačné opatrenia'!$B$3</f>
        <v>Sfunkčnenie</v>
      </c>
      <c r="D22" s="788" t="s">
        <v>542</v>
      </c>
      <c r="E22" s="773" t="s">
        <v>542</v>
      </c>
      <c r="F22" s="773" t="s">
        <v>542</v>
      </c>
      <c r="G22" s="773" t="str">
        <f t="shared" si="14"/>
        <v>N</v>
      </c>
      <c r="H22" s="773"/>
      <c r="I22" s="773"/>
      <c r="J22" s="773"/>
      <c r="K22" s="773"/>
      <c r="L22" s="773"/>
      <c r="M22" s="773"/>
      <c r="N22" s="773" t="s">
        <v>542</v>
      </c>
      <c r="O22" s="773"/>
      <c r="P22" s="773" t="str">
        <f t="shared" si="15"/>
        <v>N</v>
      </c>
      <c r="Q22" s="773" t="str">
        <f t="shared" si="16"/>
        <v>N</v>
      </c>
      <c r="R22" s="773" t="str">
        <f t="shared" si="17"/>
        <v>N</v>
      </c>
      <c r="S22" s="773" t="str">
        <f t="shared" si="18"/>
        <v>N</v>
      </c>
      <c r="T22" s="773" t="str">
        <f t="shared" si="19"/>
        <v>N</v>
      </c>
      <c r="U22" s="773" t="str">
        <f t="shared" si="20"/>
        <v>N</v>
      </c>
      <c r="V22" s="773" t="str">
        <f t="shared" si="21"/>
        <v>N</v>
      </c>
      <c r="W22" s="773" t="str">
        <f t="shared" si="22"/>
        <v>N</v>
      </c>
      <c r="X22" s="773" t="str">
        <f t="shared" si="23"/>
        <v>N</v>
      </c>
      <c r="Y22" s="773" t="str">
        <f t="shared" si="24"/>
        <v>N</v>
      </c>
      <c r="Z22" s="773" t="str">
        <f t="shared" si="25"/>
        <v>N</v>
      </c>
      <c r="AA22" s="773" t="str">
        <f t="shared" si="26"/>
        <v>N</v>
      </c>
      <c r="AB22" s="773" t="str">
        <f t="shared" si="27"/>
        <v>N</v>
      </c>
      <c r="AC22" s="773" t="str">
        <f t="shared" si="28"/>
        <v>N</v>
      </c>
      <c r="AD22" s="876"/>
      <c r="AE22" s="863"/>
      <c r="AF22" s="870"/>
      <c r="AG22" s="1043"/>
      <c r="AH22" s="802"/>
      <c r="AI22" s="803"/>
    </row>
    <row r="23" spans="1:51" hidden="1" outlineLevel="1" x14ac:dyDescent="0.3">
      <c r="A23" s="159"/>
      <c r="B23" s="1191"/>
      <c r="C23" s="735" t="str">
        <f>'Optimalizačné opatrenia'!$B$4</f>
        <v>Zjednotenie</v>
      </c>
      <c r="D23" s="788" t="s">
        <v>542</v>
      </c>
      <c r="E23" s="773" t="s">
        <v>542</v>
      </c>
      <c r="F23" s="773" t="s">
        <v>542</v>
      </c>
      <c r="G23" s="773" t="str">
        <f t="shared" si="14"/>
        <v>A</v>
      </c>
      <c r="H23" s="773"/>
      <c r="I23" s="773"/>
      <c r="J23" s="773"/>
      <c r="K23" s="773"/>
      <c r="L23" s="773"/>
      <c r="M23" s="773"/>
      <c r="N23" s="773" t="s">
        <v>542</v>
      </c>
      <c r="O23" s="773"/>
      <c r="P23" s="773" t="str">
        <f t="shared" si="15"/>
        <v>A</v>
      </c>
      <c r="Q23" s="773" t="str">
        <f t="shared" si="16"/>
        <v>A</v>
      </c>
      <c r="R23" s="773" t="str">
        <f t="shared" si="17"/>
        <v>A</v>
      </c>
      <c r="S23" s="773" t="str">
        <f t="shared" si="18"/>
        <v>A</v>
      </c>
      <c r="T23" s="773" t="str">
        <f t="shared" si="19"/>
        <v>A</v>
      </c>
      <c r="U23" s="773" t="str">
        <f t="shared" si="20"/>
        <v>A</v>
      </c>
      <c r="V23" s="773" t="str">
        <f t="shared" si="21"/>
        <v>A</v>
      </c>
      <c r="W23" s="773" t="str">
        <f t="shared" si="22"/>
        <v>A</v>
      </c>
      <c r="X23" s="773" t="str">
        <f t="shared" si="23"/>
        <v>A</v>
      </c>
      <c r="Y23" s="773" t="str">
        <f t="shared" si="24"/>
        <v>A</v>
      </c>
      <c r="Z23" s="773" t="str">
        <f t="shared" si="25"/>
        <v>A</v>
      </c>
      <c r="AA23" s="773" t="str">
        <f t="shared" si="26"/>
        <v>A</v>
      </c>
      <c r="AB23" s="773" t="str">
        <f t="shared" si="27"/>
        <v>A</v>
      </c>
      <c r="AC23" s="773" t="str">
        <f t="shared" si="28"/>
        <v>A</v>
      </c>
      <c r="AD23" s="876"/>
      <c r="AE23" s="863"/>
      <c r="AF23" s="870"/>
      <c r="AG23" s="1043"/>
      <c r="AH23" s="802"/>
      <c r="AI23" s="803"/>
    </row>
    <row r="24" spans="1:51" hidden="1" outlineLevel="1" x14ac:dyDescent="0.3">
      <c r="A24" s="159"/>
      <c r="B24" s="1191"/>
      <c r="C24" s="735" t="str">
        <f>'Optimalizačné opatrenia'!$B$5</f>
        <v>Centralizácia</v>
      </c>
      <c r="D24" s="788" t="s">
        <v>542</v>
      </c>
      <c r="E24" s="773" t="s">
        <v>542</v>
      </c>
      <c r="F24" s="773" t="s">
        <v>542</v>
      </c>
      <c r="G24" s="773" t="str">
        <f t="shared" si="14"/>
        <v>A</v>
      </c>
      <c r="H24" s="773"/>
      <c r="I24" s="773"/>
      <c r="J24" s="773"/>
      <c r="K24" s="773"/>
      <c r="L24" s="773"/>
      <c r="M24" s="773"/>
      <c r="N24" s="773" t="s">
        <v>542</v>
      </c>
      <c r="O24" s="773"/>
      <c r="P24" s="773" t="str">
        <f t="shared" si="15"/>
        <v>A</v>
      </c>
      <c r="Q24" s="773" t="str">
        <f t="shared" si="16"/>
        <v>A</v>
      </c>
      <c r="R24" s="773" t="str">
        <f t="shared" si="17"/>
        <v>A</v>
      </c>
      <c r="S24" s="773" t="str">
        <f t="shared" si="18"/>
        <v>A</v>
      </c>
      <c r="T24" s="773" t="str">
        <f t="shared" si="19"/>
        <v>A</v>
      </c>
      <c r="U24" s="773" t="str">
        <f t="shared" si="20"/>
        <v>A</v>
      </c>
      <c r="V24" s="773" t="str">
        <f t="shared" si="21"/>
        <v>A</v>
      </c>
      <c r="W24" s="773" t="str">
        <f t="shared" si="22"/>
        <v>A</v>
      </c>
      <c r="X24" s="773" t="str">
        <f t="shared" si="23"/>
        <v>A</v>
      </c>
      <c r="Y24" s="773" t="str">
        <f t="shared" si="24"/>
        <v>A</v>
      </c>
      <c r="Z24" s="773" t="str">
        <f t="shared" si="25"/>
        <v>A</v>
      </c>
      <c r="AA24" s="773" t="str">
        <f t="shared" si="26"/>
        <v>A</v>
      </c>
      <c r="AB24" s="773" t="str">
        <f t="shared" si="27"/>
        <v>A</v>
      </c>
      <c r="AC24" s="773" t="str">
        <f t="shared" si="28"/>
        <v>A</v>
      </c>
      <c r="AD24" s="876"/>
      <c r="AE24" s="863"/>
      <c r="AF24" s="870"/>
      <c r="AG24" s="1043"/>
      <c r="AH24" s="802"/>
      <c r="AI24" s="803"/>
    </row>
    <row r="25" spans="1:51" hidden="1" outlineLevel="1" x14ac:dyDescent="0.3">
      <c r="A25" s="159"/>
      <c r="B25" s="1191"/>
      <c r="C25" s="735" t="str">
        <f>'Optimalizačné opatrenia'!$B$6</f>
        <v>Elektronizácia</v>
      </c>
      <c r="D25" s="788" t="s">
        <v>542</v>
      </c>
      <c r="E25" s="773" t="s">
        <v>542</v>
      </c>
      <c r="F25" s="773" t="s">
        <v>542</v>
      </c>
      <c r="G25" s="773" t="str">
        <f t="shared" si="14"/>
        <v>A</v>
      </c>
      <c r="H25" s="773"/>
      <c r="I25" s="773"/>
      <c r="J25" s="773"/>
      <c r="K25" s="773"/>
      <c r="L25" s="773"/>
      <c r="M25" s="773"/>
      <c r="N25" s="773" t="s">
        <v>542</v>
      </c>
      <c r="O25" s="773"/>
      <c r="P25" s="773" t="str">
        <f t="shared" si="15"/>
        <v>A</v>
      </c>
      <c r="Q25" s="773" t="str">
        <f t="shared" si="16"/>
        <v>A</v>
      </c>
      <c r="R25" s="773" t="str">
        <f t="shared" si="17"/>
        <v>A</v>
      </c>
      <c r="S25" s="773" t="str">
        <f t="shared" si="18"/>
        <v>A</v>
      </c>
      <c r="T25" s="773" t="str">
        <f t="shared" si="19"/>
        <v>A</v>
      </c>
      <c r="U25" s="773" t="str">
        <f t="shared" si="20"/>
        <v>A</v>
      </c>
      <c r="V25" s="773" t="str">
        <f t="shared" si="21"/>
        <v>A</v>
      </c>
      <c r="W25" s="773" t="str">
        <f t="shared" si="22"/>
        <v>A</v>
      </c>
      <c r="X25" s="773" t="str">
        <f t="shared" si="23"/>
        <v>A</v>
      </c>
      <c r="Y25" s="773" t="str">
        <f t="shared" si="24"/>
        <v>A</v>
      </c>
      <c r="Z25" s="773" t="str">
        <f t="shared" si="25"/>
        <v>A</v>
      </c>
      <c r="AA25" s="773" t="str">
        <f t="shared" si="26"/>
        <v>A</v>
      </c>
      <c r="AB25" s="773" t="str">
        <f t="shared" si="27"/>
        <v>A</v>
      </c>
      <c r="AC25" s="773" t="str">
        <f t="shared" si="28"/>
        <v>A</v>
      </c>
      <c r="AD25" s="876"/>
      <c r="AE25" s="863"/>
      <c r="AF25" s="870"/>
      <c r="AG25" s="1043"/>
      <c r="AH25" s="802"/>
      <c r="AI25" s="803"/>
    </row>
    <row r="26" spans="1:51" hidden="1" outlineLevel="1" x14ac:dyDescent="0.3">
      <c r="A26" s="159"/>
      <c r="B26" s="1191"/>
      <c r="C26" s="735" t="str">
        <f>'Optimalizačné opatrenia'!$B$7</f>
        <v>Automatizácia</v>
      </c>
      <c r="D26" s="788" t="s">
        <v>542</v>
      </c>
      <c r="E26" s="773" t="s">
        <v>542</v>
      </c>
      <c r="F26" s="773" t="s">
        <v>542</v>
      </c>
      <c r="G26" s="773" t="str">
        <f t="shared" si="14"/>
        <v>A</v>
      </c>
      <c r="H26" s="773"/>
      <c r="I26" s="773"/>
      <c r="J26" s="773"/>
      <c r="K26" s="773"/>
      <c r="L26" s="773"/>
      <c r="M26" s="773"/>
      <c r="N26" s="773" t="s">
        <v>542</v>
      </c>
      <c r="O26" s="773"/>
      <c r="P26" s="773" t="str">
        <f t="shared" si="15"/>
        <v>A</v>
      </c>
      <c r="Q26" s="773" t="str">
        <f t="shared" si="16"/>
        <v>A</v>
      </c>
      <c r="R26" s="773" t="str">
        <f t="shared" si="17"/>
        <v>A</v>
      </c>
      <c r="S26" s="773" t="str">
        <f t="shared" si="18"/>
        <v>A</v>
      </c>
      <c r="T26" s="773" t="str">
        <f t="shared" si="19"/>
        <v>A</v>
      </c>
      <c r="U26" s="773" t="str">
        <f t="shared" si="20"/>
        <v>A</v>
      </c>
      <c r="V26" s="773" t="str">
        <f t="shared" si="21"/>
        <v>A</v>
      </c>
      <c r="W26" s="773" t="str">
        <f t="shared" si="22"/>
        <v>A</v>
      </c>
      <c r="X26" s="773" t="str">
        <f t="shared" si="23"/>
        <v>A</v>
      </c>
      <c r="Y26" s="773" t="str">
        <f t="shared" si="24"/>
        <v>A</v>
      </c>
      <c r="Z26" s="773" t="str">
        <f t="shared" si="25"/>
        <v>A</v>
      </c>
      <c r="AA26" s="773" t="str">
        <f t="shared" si="26"/>
        <v>A</v>
      </c>
      <c r="AB26" s="773" t="str">
        <f t="shared" si="27"/>
        <v>A</v>
      </c>
      <c r="AC26" s="773" t="str">
        <f t="shared" si="28"/>
        <v>A</v>
      </c>
      <c r="AD26" s="876"/>
      <c r="AE26" s="863"/>
      <c r="AF26" s="870"/>
      <c r="AG26" s="1043"/>
      <c r="AH26" s="802"/>
      <c r="AI26" s="803"/>
    </row>
    <row r="27" spans="1:51" hidden="1" outlineLevel="1" x14ac:dyDescent="0.3">
      <c r="A27" s="159"/>
      <c r="B27" s="1191"/>
      <c r="C27" s="735" t="str">
        <f>'Optimalizačné opatrenia'!$B$8</f>
        <v>Bezpečnosť</v>
      </c>
      <c r="D27" s="788" t="s">
        <v>542</v>
      </c>
      <c r="E27" s="773" t="s">
        <v>542</v>
      </c>
      <c r="F27" s="773" t="s">
        <v>542</v>
      </c>
      <c r="G27" s="773" t="str">
        <f t="shared" si="14"/>
        <v>A</v>
      </c>
      <c r="H27" s="773"/>
      <c r="I27" s="773"/>
      <c r="J27" s="773"/>
      <c r="K27" s="773"/>
      <c r="L27" s="773"/>
      <c r="M27" s="773"/>
      <c r="N27" s="773" t="s">
        <v>542</v>
      </c>
      <c r="O27" s="773"/>
      <c r="P27" s="773" t="str">
        <f t="shared" si="15"/>
        <v>A</v>
      </c>
      <c r="Q27" s="773" t="str">
        <f t="shared" si="16"/>
        <v>A</v>
      </c>
      <c r="R27" s="773" t="str">
        <f t="shared" si="17"/>
        <v>A</v>
      </c>
      <c r="S27" s="773" t="str">
        <f t="shared" si="18"/>
        <v>A</v>
      </c>
      <c r="T27" s="773" t="str">
        <f t="shared" si="19"/>
        <v>A</v>
      </c>
      <c r="U27" s="773" t="str">
        <f t="shared" si="20"/>
        <v>A</v>
      </c>
      <c r="V27" s="773" t="str">
        <f t="shared" si="21"/>
        <v>A</v>
      </c>
      <c r="W27" s="773" t="str">
        <f t="shared" si="22"/>
        <v>A</v>
      </c>
      <c r="X27" s="773" t="str">
        <f t="shared" si="23"/>
        <v>A</v>
      </c>
      <c r="Y27" s="773" t="str">
        <f t="shared" si="24"/>
        <v>A</v>
      </c>
      <c r="Z27" s="773" t="str">
        <f t="shared" si="25"/>
        <v>A</v>
      </c>
      <c r="AA27" s="773" t="str">
        <f t="shared" si="26"/>
        <v>A</v>
      </c>
      <c r="AB27" s="773" t="str">
        <f t="shared" si="27"/>
        <v>A</v>
      </c>
      <c r="AC27" s="773" t="str">
        <f t="shared" si="28"/>
        <v>A</v>
      </c>
      <c r="AD27" s="876"/>
      <c r="AE27" s="863"/>
      <c r="AF27" s="870"/>
      <c r="AG27" s="1043"/>
      <c r="AH27" s="802"/>
      <c r="AI27" s="803"/>
    </row>
    <row r="28" spans="1:51" hidden="1" outlineLevel="1" x14ac:dyDescent="0.3">
      <c r="A28" s="159"/>
      <c r="B28" s="1191"/>
      <c r="C28" s="735" t="str">
        <f>'Optimalizačné opatrenia'!$B$9</f>
        <v>Auditovateľnosť</v>
      </c>
      <c r="D28" s="788" t="s">
        <v>542</v>
      </c>
      <c r="E28" s="773" t="s">
        <v>542</v>
      </c>
      <c r="F28" s="773" t="s">
        <v>542</v>
      </c>
      <c r="G28" s="773" t="str">
        <f t="shared" si="14"/>
        <v>A</v>
      </c>
      <c r="H28" s="773"/>
      <c r="I28" s="773"/>
      <c r="J28" s="773"/>
      <c r="K28" s="773"/>
      <c r="L28" s="773"/>
      <c r="M28" s="773"/>
      <c r="N28" s="773" t="s">
        <v>542</v>
      </c>
      <c r="O28" s="773"/>
      <c r="P28" s="773" t="str">
        <f t="shared" si="15"/>
        <v>A</v>
      </c>
      <c r="Q28" s="773" t="str">
        <f t="shared" si="16"/>
        <v>A</v>
      </c>
      <c r="R28" s="773" t="str">
        <f t="shared" si="17"/>
        <v>A</v>
      </c>
      <c r="S28" s="773" t="str">
        <f t="shared" si="18"/>
        <v>A</v>
      </c>
      <c r="T28" s="773" t="str">
        <f t="shared" si="19"/>
        <v>A</v>
      </c>
      <c r="U28" s="773" t="str">
        <f t="shared" si="20"/>
        <v>A</v>
      </c>
      <c r="V28" s="773" t="str">
        <f t="shared" si="21"/>
        <v>A</v>
      </c>
      <c r="W28" s="773" t="str">
        <f t="shared" si="22"/>
        <v>A</v>
      </c>
      <c r="X28" s="773" t="str">
        <f t="shared" si="23"/>
        <v>A</v>
      </c>
      <c r="Y28" s="773" t="str">
        <f t="shared" si="24"/>
        <v>A</v>
      </c>
      <c r="Z28" s="773" t="str">
        <f t="shared" si="25"/>
        <v>A</v>
      </c>
      <c r="AA28" s="773" t="str">
        <f t="shared" si="26"/>
        <v>A</v>
      </c>
      <c r="AB28" s="773" t="str">
        <f t="shared" si="27"/>
        <v>A</v>
      </c>
      <c r="AC28" s="773" t="str">
        <f t="shared" si="28"/>
        <v>A</v>
      </c>
      <c r="AD28" s="876"/>
      <c r="AE28" s="863"/>
      <c r="AF28" s="870"/>
      <c r="AG28" s="1043"/>
      <c r="AH28" s="802"/>
      <c r="AI28" s="803"/>
    </row>
    <row r="29" spans="1:51" hidden="1" outlineLevel="1" x14ac:dyDescent="0.3">
      <c r="A29" s="159"/>
      <c r="B29" s="1191"/>
      <c r="C29" s="735" t="str">
        <f>'Optimalizačné opatrenia'!$B$10</f>
        <v>Transparentnosť</v>
      </c>
      <c r="D29" s="788" t="s">
        <v>542</v>
      </c>
      <c r="E29" s="773" t="s">
        <v>542</v>
      </c>
      <c r="F29" s="773" t="s">
        <v>542</v>
      </c>
      <c r="G29" s="773" t="str">
        <f t="shared" si="14"/>
        <v>N</v>
      </c>
      <c r="H29" s="773"/>
      <c r="I29" s="773"/>
      <c r="J29" s="773"/>
      <c r="K29" s="773"/>
      <c r="L29" s="773"/>
      <c r="M29" s="773"/>
      <c r="N29" s="773" t="s">
        <v>542</v>
      </c>
      <c r="O29" s="773"/>
      <c r="P29" s="773" t="str">
        <f t="shared" si="15"/>
        <v>A</v>
      </c>
      <c r="Q29" s="773" t="str">
        <f t="shared" si="16"/>
        <v>N</v>
      </c>
      <c r="R29" s="773" t="str">
        <f t="shared" si="17"/>
        <v>N</v>
      </c>
      <c r="S29" s="773" t="str">
        <f t="shared" si="18"/>
        <v>N</v>
      </c>
      <c r="T29" s="773" t="str">
        <f t="shared" si="19"/>
        <v>N</v>
      </c>
      <c r="U29" s="773" t="str">
        <f t="shared" si="20"/>
        <v>N</v>
      </c>
      <c r="V29" s="773" t="str">
        <f t="shared" si="21"/>
        <v>A</v>
      </c>
      <c r="W29" s="773" t="str">
        <f t="shared" si="22"/>
        <v>N</v>
      </c>
      <c r="X29" s="773" t="str">
        <f t="shared" si="23"/>
        <v>N</v>
      </c>
      <c r="Y29" s="773" t="str">
        <f t="shared" si="24"/>
        <v>N</v>
      </c>
      <c r="Z29" s="773" t="str">
        <f t="shared" si="25"/>
        <v>N</v>
      </c>
      <c r="AA29" s="773" t="str">
        <f t="shared" si="26"/>
        <v>A</v>
      </c>
      <c r="AB29" s="773" t="str">
        <f t="shared" si="27"/>
        <v>N</v>
      </c>
      <c r="AC29" s="773" t="str">
        <f t="shared" si="28"/>
        <v>N</v>
      </c>
      <c r="AD29" s="876"/>
      <c r="AE29" s="863"/>
      <c r="AF29" s="870"/>
      <c r="AG29" s="1043"/>
      <c r="AH29" s="802"/>
      <c r="AI29" s="803"/>
    </row>
    <row r="30" spans="1:51" hidden="1" outlineLevel="1" x14ac:dyDescent="0.3">
      <c r="A30" s="159"/>
      <c r="B30" s="1191"/>
      <c r="C30" s="735" t="str">
        <f>'Optimalizačné opatrenia'!$B$11</f>
        <v>Analyzovatelnosť</v>
      </c>
      <c r="D30" s="788" t="s">
        <v>542</v>
      </c>
      <c r="E30" s="773" t="s">
        <v>542</v>
      </c>
      <c r="F30" s="773" t="s">
        <v>542</v>
      </c>
      <c r="G30" s="773" t="str">
        <f t="shared" si="14"/>
        <v>A</v>
      </c>
      <c r="H30" s="773"/>
      <c r="I30" s="773"/>
      <c r="J30" s="773"/>
      <c r="K30" s="773"/>
      <c r="L30" s="773"/>
      <c r="M30" s="773"/>
      <c r="N30" s="773" t="s">
        <v>542</v>
      </c>
      <c r="O30" s="773"/>
      <c r="P30" s="773" t="str">
        <f t="shared" si="15"/>
        <v>A</v>
      </c>
      <c r="Q30" s="773" t="str">
        <f t="shared" si="16"/>
        <v>A</v>
      </c>
      <c r="R30" s="773" t="str">
        <f t="shared" si="17"/>
        <v>A</v>
      </c>
      <c r="S30" s="773" t="str">
        <f t="shared" si="18"/>
        <v>A</v>
      </c>
      <c r="T30" s="773" t="str">
        <f t="shared" si="19"/>
        <v>A</v>
      </c>
      <c r="U30" s="773" t="str">
        <f t="shared" si="20"/>
        <v>A</v>
      </c>
      <c r="V30" s="773" t="str">
        <f t="shared" si="21"/>
        <v>A</v>
      </c>
      <c r="W30" s="773" t="str">
        <f t="shared" si="22"/>
        <v>A</v>
      </c>
      <c r="X30" s="773" t="str">
        <f t="shared" si="23"/>
        <v>A</v>
      </c>
      <c r="Y30" s="773" t="str">
        <f t="shared" si="24"/>
        <v>A</v>
      </c>
      <c r="Z30" s="773" t="str">
        <f t="shared" si="25"/>
        <v>A</v>
      </c>
      <c r="AA30" s="773" t="str">
        <f t="shared" si="26"/>
        <v>A</v>
      </c>
      <c r="AB30" s="773" t="str">
        <f t="shared" si="27"/>
        <v>A</v>
      </c>
      <c r="AC30" s="773" t="str">
        <f t="shared" si="28"/>
        <v>A</v>
      </c>
      <c r="AD30" s="876"/>
      <c r="AE30" s="863"/>
      <c r="AF30" s="870"/>
      <c r="AG30" s="1043"/>
      <c r="AH30" s="802"/>
      <c r="AI30" s="803"/>
    </row>
    <row r="31" spans="1:51" hidden="1" outlineLevel="1" x14ac:dyDescent="0.3">
      <c r="A31" s="159"/>
      <c r="B31" s="1191"/>
      <c r="C31" s="735" t="str">
        <f>'Optimalizačné opatrenia'!$B$12</f>
        <v>Integrácia</v>
      </c>
      <c r="D31" s="788" t="s">
        <v>542</v>
      </c>
      <c r="E31" s="773" t="s">
        <v>542</v>
      </c>
      <c r="F31" s="773" t="s">
        <v>542</v>
      </c>
      <c r="G31" s="773" t="str">
        <f t="shared" si="14"/>
        <v>A</v>
      </c>
      <c r="H31" s="773"/>
      <c r="I31" s="773"/>
      <c r="J31" s="773"/>
      <c r="K31" s="773"/>
      <c r="L31" s="773"/>
      <c r="M31" s="773"/>
      <c r="N31" s="773" t="s">
        <v>542</v>
      </c>
      <c r="O31" s="773"/>
      <c r="P31" s="773" t="str">
        <f t="shared" si="15"/>
        <v>A</v>
      </c>
      <c r="Q31" s="773" t="str">
        <f t="shared" si="16"/>
        <v>A</v>
      </c>
      <c r="R31" s="773" t="str">
        <f t="shared" si="17"/>
        <v>A</v>
      </c>
      <c r="S31" s="773" t="str">
        <f t="shared" si="18"/>
        <v>A</v>
      </c>
      <c r="T31" s="773" t="str">
        <f t="shared" si="19"/>
        <v>A</v>
      </c>
      <c r="U31" s="773" t="str">
        <f t="shared" si="20"/>
        <v>A</v>
      </c>
      <c r="V31" s="773" t="str">
        <f t="shared" si="21"/>
        <v>A</v>
      </c>
      <c r="W31" s="773" t="str">
        <f t="shared" si="22"/>
        <v>A</v>
      </c>
      <c r="X31" s="773" t="str">
        <f t="shared" si="23"/>
        <v>A</v>
      </c>
      <c r="Y31" s="773" t="str">
        <f t="shared" si="24"/>
        <v>A</v>
      </c>
      <c r="Z31" s="773" t="str">
        <f t="shared" si="25"/>
        <v>A</v>
      </c>
      <c r="AA31" s="773" t="str">
        <f t="shared" si="26"/>
        <v>A</v>
      </c>
      <c r="AB31" s="773" t="str">
        <f t="shared" si="27"/>
        <v>A</v>
      </c>
      <c r="AC31" s="773" t="str">
        <f t="shared" si="28"/>
        <v>A</v>
      </c>
      <c r="AD31" s="876"/>
      <c r="AE31" s="863"/>
      <c r="AF31" s="870"/>
      <c r="AG31" s="1043"/>
      <c r="AH31" s="802"/>
      <c r="AI31" s="803"/>
    </row>
    <row r="32" spans="1:51" hidden="1" outlineLevel="1" x14ac:dyDescent="0.3">
      <c r="A32" s="159"/>
      <c r="B32" s="1191"/>
      <c r="C32" s="740" t="str">
        <f>'Optimalizačné opatrenia'!$B$13</f>
        <v>Proaktivita</v>
      </c>
      <c r="D32" s="788" t="s">
        <v>542</v>
      </c>
      <c r="E32" s="773" t="s">
        <v>542</v>
      </c>
      <c r="F32" s="773" t="s">
        <v>542</v>
      </c>
      <c r="G32" s="773" t="str">
        <f t="shared" si="14"/>
        <v>N</v>
      </c>
      <c r="H32" s="773"/>
      <c r="I32" s="773"/>
      <c r="J32" s="773"/>
      <c r="K32" s="773"/>
      <c r="L32" s="773"/>
      <c r="M32" s="773"/>
      <c r="N32" s="773" t="s">
        <v>542</v>
      </c>
      <c r="O32" s="773"/>
      <c r="P32" s="773" t="str">
        <f t="shared" si="15"/>
        <v>N</v>
      </c>
      <c r="Q32" s="773" t="str">
        <f t="shared" si="16"/>
        <v>N</v>
      </c>
      <c r="R32" s="773" t="str">
        <f t="shared" si="17"/>
        <v>A</v>
      </c>
      <c r="S32" s="773" t="str">
        <f t="shared" si="18"/>
        <v>A</v>
      </c>
      <c r="T32" s="773" t="str">
        <f t="shared" si="19"/>
        <v>A</v>
      </c>
      <c r="U32" s="773" t="str">
        <f t="shared" si="20"/>
        <v>N</v>
      </c>
      <c r="V32" s="773" t="str">
        <f t="shared" si="21"/>
        <v>A</v>
      </c>
      <c r="W32" s="773" t="str">
        <f t="shared" si="22"/>
        <v>N</v>
      </c>
      <c r="X32" s="773" t="str">
        <f t="shared" si="23"/>
        <v>N</v>
      </c>
      <c r="Y32" s="773" t="str">
        <f t="shared" si="24"/>
        <v>A</v>
      </c>
      <c r="Z32" s="773" t="str">
        <f t="shared" si="25"/>
        <v>A</v>
      </c>
      <c r="AA32" s="773" t="str">
        <f t="shared" si="26"/>
        <v>A</v>
      </c>
      <c r="AB32" s="773" t="str">
        <f t="shared" si="27"/>
        <v>N</v>
      </c>
      <c r="AC32" s="773" t="str">
        <f t="shared" si="28"/>
        <v>N</v>
      </c>
      <c r="AD32" s="876"/>
      <c r="AE32" s="863"/>
      <c r="AF32" s="870"/>
      <c r="AG32" s="1043"/>
      <c r="AH32" s="802"/>
      <c r="AI32" s="803"/>
    </row>
    <row r="33" spans="1:51" hidden="1" outlineLevel="1" x14ac:dyDescent="0.3">
      <c r="A33" s="159"/>
      <c r="B33" s="790"/>
      <c r="C33" s="792" t="s">
        <v>550</v>
      </c>
      <c r="D33" s="793">
        <v>0</v>
      </c>
      <c r="E33" s="791">
        <v>0</v>
      </c>
      <c r="F33" s="794">
        <v>0</v>
      </c>
      <c r="G33" s="794">
        <f t="shared" si="14"/>
        <v>0.3</v>
      </c>
      <c r="H33" s="794"/>
      <c r="I33" s="794"/>
      <c r="J33" s="794"/>
      <c r="K33" s="794"/>
      <c r="L33" s="794"/>
      <c r="M33" s="794"/>
      <c r="N33" s="794">
        <v>0</v>
      </c>
      <c r="O33" s="794"/>
      <c r="P33" s="794">
        <f t="shared" si="15"/>
        <v>0.45</v>
      </c>
      <c r="Q33" s="794">
        <f t="shared" si="16"/>
        <v>0.3</v>
      </c>
      <c r="R33" s="794">
        <f t="shared" si="17"/>
        <v>0.4</v>
      </c>
      <c r="S33" s="794">
        <f t="shared" si="18"/>
        <v>0.4</v>
      </c>
      <c r="T33" s="794">
        <f t="shared" si="19"/>
        <v>0.4</v>
      </c>
      <c r="U33" s="794">
        <f t="shared" si="20"/>
        <v>0.3</v>
      </c>
      <c r="V33" s="794">
        <f t="shared" si="21"/>
        <v>0.5</v>
      </c>
      <c r="W33" s="794">
        <f t="shared" si="22"/>
        <v>0.3</v>
      </c>
      <c r="X33" s="794">
        <f t="shared" si="23"/>
        <v>0.3</v>
      </c>
      <c r="Y33" s="794">
        <f t="shared" si="24"/>
        <v>0.4</v>
      </c>
      <c r="Z33" s="794">
        <f t="shared" si="25"/>
        <v>0.4</v>
      </c>
      <c r="AA33" s="794">
        <f t="shared" si="26"/>
        <v>0.5</v>
      </c>
      <c r="AB33" s="794">
        <f t="shared" si="27"/>
        <v>0.3</v>
      </c>
      <c r="AC33" s="794">
        <f t="shared" si="28"/>
        <v>0.3</v>
      </c>
      <c r="AD33" s="877"/>
      <c r="AE33" s="864"/>
      <c r="AF33" s="871"/>
      <c r="AG33" s="1044"/>
      <c r="AH33" s="805"/>
      <c r="AI33" s="806"/>
    </row>
    <row r="34" spans="1:51" ht="28.8" collapsed="1" x14ac:dyDescent="0.3">
      <c r="A34" s="159">
        <f ca="1">OFFSET(A34,-14,0)+1</f>
        <v>3</v>
      </c>
      <c r="B34" s="234" t="str">
        <f ca="1">'Procesy - AS IS'!B12</f>
        <v>Meranie č. 3</v>
      </c>
      <c r="C34" s="718" t="str">
        <f>'Procesy - AS IS'!C12</f>
        <v>BVS, a.s., Mimoriadne zhoršenie vôd, 053/015/2016/BA</v>
      </c>
      <c r="D34" s="796">
        <f>-'Procesy - AS IS'!D14*D47</f>
        <v>0</v>
      </c>
      <c r="E34" s="721">
        <f>-'Procesy - AS IS'!E14*E47</f>
        <v>0</v>
      </c>
      <c r="F34" s="721">
        <f>-'Procesy - AS IS'!F14*F47</f>
        <v>0</v>
      </c>
      <c r="G34" s="721">
        <f>-'Procesy - AS IS'!G14*G47</f>
        <v>-3.4585284280936452</v>
      </c>
      <c r="H34" s="721" t="s">
        <v>568</v>
      </c>
      <c r="I34" s="721" t="s">
        <v>568</v>
      </c>
      <c r="J34" s="721" t="s">
        <v>568</v>
      </c>
      <c r="K34" s="721" t="s">
        <v>568</v>
      </c>
      <c r="L34" s="721" t="s">
        <v>568</v>
      </c>
      <c r="M34" s="721" t="s">
        <v>568</v>
      </c>
      <c r="N34" s="721">
        <f>-'Procesy - AS IS'!N14*N47</f>
        <v>0</v>
      </c>
      <c r="O34" s="721" t="s">
        <v>572</v>
      </c>
      <c r="P34" s="721">
        <f>-'Procesy - AS IS'!P14*P47</f>
        <v>-1.8</v>
      </c>
      <c r="Q34" s="721">
        <f>-'Procesy - AS IS'!Q14*Q47</f>
        <v>0</v>
      </c>
      <c r="R34" s="721">
        <f>-'Procesy - AS IS'!R14*R47</f>
        <v>-8.1361256544502609</v>
      </c>
      <c r="S34" s="721">
        <f>-'Procesy - AS IS'!S14*S47</f>
        <v>-4.1884816753926701</v>
      </c>
      <c r="T34" s="721">
        <f>-'Procesy - AS IS'!T14*T47</f>
        <v>-1.3947643979057593</v>
      </c>
      <c r="U34" s="721">
        <f>-'Procesy - AS IS'!U14*U47</f>
        <v>-1.0052356020942408</v>
      </c>
      <c r="V34" s="721">
        <f>-'Procesy - AS IS'!V14*V47</f>
        <v>-0.25</v>
      </c>
      <c r="W34" s="721">
        <f>-'Procesy - AS IS'!W14*W47</f>
        <v>-0.49005235602094238</v>
      </c>
      <c r="X34" s="721">
        <f>-'Procesy - AS IS'!X14*X47</f>
        <v>0</v>
      </c>
      <c r="Y34" s="721">
        <f>-'Procesy - AS IS'!Y14*Y47</f>
        <v>-2.4502617801047117</v>
      </c>
      <c r="Z34" s="721">
        <f>-'Procesy - AS IS'!Z14*Z47</f>
        <v>0</v>
      </c>
      <c r="AA34" s="721">
        <f>-'Procesy - AS IS'!AA14*AA47</f>
        <v>0</v>
      </c>
      <c r="AB34" s="721">
        <f>-'Procesy - AS IS'!AB14*AB47</f>
        <v>0</v>
      </c>
      <c r="AC34" s="721">
        <f>-'Procesy - AS IS'!AC14*AC47</f>
        <v>0</v>
      </c>
      <c r="AD34" s="824">
        <f>SUM(D34:AC34)</f>
        <v>-23.17344989406223</v>
      </c>
      <c r="AE34" s="798">
        <f>AD34/'Procesy - AS IS'!AD14</f>
        <v>-0.27719733198527147</v>
      </c>
      <c r="AF34" s="869">
        <f>('Procesy - AS IS'!AG14/(1+$AE34)-'Procesy - AS IS'!AG14)/2</f>
        <v>36.624581474364447</v>
      </c>
      <c r="AG34" s="1042">
        <f>('Procesy - AS IS'!AH14/(1+$AE34)-'Procesy - AS IS'!AH14)/2</f>
        <v>21.284442636934315</v>
      </c>
      <c r="AH34" s="800">
        <f>('Procesy - AS IS'!AI14/(1+$AE34)-'Procesy - AS IS'!AI14)/2</f>
        <v>14.956635366494382</v>
      </c>
      <c r="AI34" s="801">
        <f>('Procesy - AS IS'!AJ14/(1+$AE34)-'Procesy - AS IS'!AJ14)/2</f>
        <v>0</v>
      </c>
      <c r="AK34" s="232"/>
      <c r="AY34" s="227"/>
    </row>
    <row r="35" spans="1:51" hidden="1" outlineLevel="1" x14ac:dyDescent="0.3">
      <c r="A35" s="159"/>
      <c r="B35" s="1190" t="s">
        <v>540</v>
      </c>
      <c r="C35" s="735" t="str">
        <f>'Optimalizačné opatrenia'!$B$2</f>
        <v>Modernizácia</v>
      </c>
      <c r="D35" s="773" t="str">
        <f t="shared" ref="D35:D47" si="29">G7</f>
        <v>A</v>
      </c>
      <c r="E35" s="742" t="s">
        <v>542</v>
      </c>
      <c r="F35" s="773" t="s">
        <v>542</v>
      </c>
      <c r="G35" s="773" t="str">
        <f t="shared" ref="G35:G47" si="30">D35</f>
        <v>A</v>
      </c>
      <c r="H35" s="773"/>
      <c r="I35" s="773"/>
      <c r="J35" s="773"/>
      <c r="K35" s="773"/>
      <c r="L35" s="773"/>
      <c r="M35" s="773"/>
      <c r="N35" s="773" t="str">
        <f t="shared" ref="N35:N47" si="31">G35</f>
        <v>A</v>
      </c>
      <c r="O35" s="773"/>
      <c r="P35" s="773" t="str">
        <f t="shared" ref="P35:Q47" si="32">P7</f>
        <v>A</v>
      </c>
      <c r="Q35" s="773" t="str">
        <f t="shared" si="32"/>
        <v>A</v>
      </c>
      <c r="R35" s="773" t="s">
        <v>541</v>
      </c>
      <c r="S35" s="773" t="str">
        <f t="shared" ref="S35:S47" si="33">R35</f>
        <v>A</v>
      </c>
      <c r="T35" s="773" t="str">
        <f t="shared" ref="T35:T47" si="34">R7</f>
        <v>A</v>
      </c>
      <c r="U35" s="773" t="str">
        <f t="shared" ref="U35:U47" si="35">$G35</f>
        <v>A</v>
      </c>
      <c r="V35" s="773" t="str">
        <f t="shared" ref="V35:V47" si="36">V7</f>
        <v>A</v>
      </c>
      <c r="W35" s="773" t="str">
        <f t="shared" ref="W35:X47" si="37">$G35</f>
        <v>A</v>
      </c>
      <c r="X35" s="773" t="str">
        <f t="shared" si="37"/>
        <v>A</v>
      </c>
      <c r="Y35" s="773" t="str">
        <f t="shared" ref="Y35:Y47" si="38">$R35</f>
        <v>A</v>
      </c>
      <c r="Z35" s="773" t="str">
        <f t="shared" ref="Z35:Z47" si="39">R7</f>
        <v>A</v>
      </c>
      <c r="AA35" s="773" t="str">
        <f t="shared" ref="AA35:AA47" si="40">$V35</f>
        <v>A</v>
      </c>
      <c r="AB35" s="773" t="str">
        <f t="shared" ref="AB35:AC47" si="41">$R35</f>
        <v>A</v>
      </c>
      <c r="AC35" s="773" t="str">
        <f t="shared" si="41"/>
        <v>A</v>
      </c>
      <c r="AD35" s="876"/>
      <c r="AE35" s="863"/>
      <c r="AF35" s="870"/>
      <c r="AG35" s="1043"/>
      <c r="AH35" s="802"/>
      <c r="AI35" s="803"/>
    </row>
    <row r="36" spans="1:51" hidden="1" outlineLevel="1" x14ac:dyDescent="0.3">
      <c r="A36" s="159"/>
      <c r="B36" s="1191"/>
      <c r="C36" s="735" t="str">
        <f>'Optimalizačné opatrenia'!$B$3</f>
        <v>Sfunkčnenie</v>
      </c>
      <c r="D36" s="788" t="str">
        <f t="shared" si="29"/>
        <v>N</v>
      </c>
      <c r="E36" s="773" t="s">
        <v>542</v>
      </c>
      <c r="F36" s="773" t="s">
        <v>542</v>
      </c>
      <c r="G36" s="773" t="str">
        <f t="shared" si="30"/>
        <v>N</v>
      </c>
      <c r="H36" s="773"/>
      <c r="I36" s="773"/>
      <c r="J36" s="773"/>
      <c r="K36" s="773"/>
      <c r="L36" s="773"/>
      <c r="M36" s="773"/>
      <c r="N36" s="773" t="str">
        <f t="shared" si="31"/>
        <v>N</v>
      </c>
      <c r="O36" s="773"/>
      <c r="P36" s="773" t="str">
        <f t="shared" si="32"/>
        <v>N</v>
      </c>
      <c r="Q36" s="773" t="str">
        <f t="shared" si="32"/>
        <v>N</v>
      </c>
      <c r="R36" s="773" t="s">
        <v>542</v>
      </c>
      <c r="S36" s="773" t="str">
        <f t="shared" si="33"/>
        <v>N</v>
      </c>
      <c r="T36" s="773" t="str">
        <f t="shared" si="34"/>
        <v>N</v>
      </c>
      <c r="U36" s="773" t="str">
        <f t="shared" si="35"/>
        <v>N</v>
      </c>
      <c r="V36" s="773" t="str">
        <f t="shared" si="36"/>
        <v>N</v>
      </c>
      <c r="W36" s="773" t="str">
        <f t="shared" si="37"/>
        <v>N</v>
      </c>
      <c r="X36" s="773" t="str">
        <f t="shared" si="37"/>
        <v>N</v>
      </c>
      <c r="Y36" s="773" t="str">
        <f t="shared" si="38"/>
        <v>N</v>
      </c>
      <c r="Z36" s="773" t="str">
        <f t="shared" si="39"/>
        <v>N</v>
      </c>
      <c r="AA36" s="773" t="str">
        <f t="shared" si="40"/>
        <v>N</v>
      </c>
      <c r="AB36" s="773" t="str">
        <f t="shared" si="41"/>
        <v>N</v>
      </c>
      <c r="AC36" s="773" t="str">
        <f t="shared" si="41"/>
        <v>N</v>
      </c>
      <c r="AD36" s="876"/>
      <c r="AE36" s="863"/>
      <c r="AF36" s="870"/>
      <c r="AG36" s="1043"/>
      <c r="AH36" s="802"/>
      <c r="AI36" s="803"/>
    </row>
    <row r="37" spans="1:51" hidden="1" outlineLevel="1" x14ac:dyDescent="0.3">
      <c r="A37" s="159"/>
      <c r="B37" s="1191"/>
      <c r="C37" s="735" t="str">
        <f>'Optimalizačné opatrenia'!$B$4</f>
        <v>Zjednotenie</v>
      </c>
      <c r="D37" s="788" t="str">
        <f t="shared" si="29"/>
        <v>A</v>
      </c>
      <c r="E37" s="773" t="s">
        <v>542</v>
      </c>
      <c r="F37" s="773" t="s">
        <v>542</v>
      </c>
      <c r="G37" s="773" t="str">
        <f t="shared" si="30"/>
        <v>A</v>
      </c>
      <c r="H37" s="773"/>
      <c r="I37" s="773"/>
      <c r="J37" s="773"/>
      <c r="K37" s="773"/>
      <c r="L37" s="773"/>
      <c r="M37" s="773"/>
      <c r="N37" s="773" t="str">
        <f t="shared" si="31"/>
        <v>A</v>
      </c>
      <c r="O37" s="773"/>
      <c r="P37" s="773" t="str">
        <f t="shared" si="32"/>
        <v>A</v>
      </c>
      <c r="Q37" s="773" t="str">
        <f t="shared" si="32"/>
        <v>A</v>
      </c>
      <c r="R37" s="773" t="s">
        <v>541</v>
      </c>
      <c r="S37" s="773" t="str">
        <f t="shared" si="33"/>
        <v>A</v>
      </c>
      <c r="T37" s="773" t="str">
        <f t="shared" si="34"/>
        <v>A</v>
      </c>
      <c r="U37" s="773" t="str">
        <f t="shared" si="35"/>
        <v>A</v>
      </c>
      <c r="V37" s="773" t="str">
        <f t="shared" si="36"/>
        <v>A</v>
      </c>
      <c r="W37" s="773" t="str">
        <f t="shared" si="37"/>
        <v>A</v>
      </c>
      <c r="X37" s="773" t="str">
        <f t="shared" si="37"/>
        <v>A</v>
      </c>
      <c r="Y37" s="773" t="str">
        <f t="shared" si="38"/>
        <v>A</v>
      </c>
      <c r="Z37" s="773" t="str">
        <f t="shared" si="39"/>
        <v>A</v>
      </c>
      <c r="AA37" s="773" t="str">
        <f t="shared" si="40"/>
        <v>A</v>
      </c>
      <c r="AB37" s="773" t="str">
        <f t="shared" si="41"/>
        <v>A</v>
      </c>
      <c r="AC37" s="773" t="str">
        <f t="shared" si="41"/>
        <v>A</v>
      </c>
      <c r="AD37" s="876"/>
      <c r="AE37" s="863"/>
      <c r="AF37" s="870"/>
      <c r="AG37" s="1043"/>
      <c r="AH37" s="802"/>
      <c r="AI37" s="803"/>
    </row>
    <row r="38" spans="1:51" hidden="1" outlineLevel="1" x14ac:dyDescent="0.3">
      <c r="A38" s="159"/>
      <c r="B38" s="1191"/>
      <c r="C38" s="735" t="str">
        <f>'Optimalizačné opatrenia'!$B$5</f>
        <v>Centralizácia</v>
      </c>
      <c r="D38" s="788" t="str">
        <f t="shared" si="29"/>
        <v>A</v>
      </c>
      <c r="E38" s="773" t="s">
        <v>542</v>
      </c>
      <c r="F38" s="773" t="s">
        <v>542</v>
      </c>
      <c r="G38" s="773" t="str">
        <f t="shared" si="30"/>
        <v>A</v>
      </c>
      <c r="H38" s="773"/>
      <c r="I38" s="773"/>
      <c r="J38" s="773"/>
      <c r="K38" s="773"/>
      <c r="L38" s="773"/>
      <c r="M38" s="773"/>
      <c r="N38" s="773" t="str">
        <f t="shared" si="31"/>
        <v>A</v>
      </c>
      <c r="O38" s="773"/>
      <c r="P38" s="773" t="str">
        <f t="shared" si="32"/>
        <v>A</v>
      </c>
      <c r="Q38" s="773" t="str">
        <f t="shared" si="32"/>
        <v>A</v>
      </c>
      <c r="R38" s="773" t="s">
        <v>541</v>
      </c>
      <c r="S38" s="773" t="str">
        <f t="shared" si="33"/>
        <v>A</v>
      </c>
      <c r="T38" s="773" t="str">
        <f t="shared" si="34"/>
        <v>A</v>
      </c>
      <c r="U38" s="773" t="str">
        <f t="shared" si="35"/>
        <v>A</v>
      </c>
      <c r="V38" s="773" t="str">
        <f t="shared" si="36"/>
        <v>A</v>
      </c>
      <c r="W38" s="773" t="str">
        <f t="shared" si="37"/>
        <v>A</v>
      </c>
      <c r="X38" s="773" t="str">
        <f t="shared" si="37"/>
        <v>A</v>
      </c>
      <c r="Y38" s="773" t="str">
        <f t="shared" si="38"/>
        <v>A</v>
      </c>
      <c r="Z38" s="773" t="str">
        <f t="shared" si="39"/>
        <v>A</v>
      </c>
      <c r="AA38" s="773" t="str">
        <f t="shared" si="40"/>
        <v>A</v>
      </c>
      <c r="AB38" s="773" t="str">
        <f t="shared" si="41"/>
        <v>A</v>
      </c>
      <c r="AC38" s="773" t="str">
        <f t="shared" si="41"/>
        <v>A</v>
      </c>
      <c r="AD38" s="876"/>
      <c r="AE38" s="863"/>
      <c r="AF38" s="870"/>
      <c r="AG38" s="1043"/>
      <c r="AH38" s="802"/>
      <c r="AI38" s="803"/>
    </row>
    <row r="39" spans="1:51" hidden="1" outlineLevel="1" x14ac:dyDescent="0.3">
      <c r="A39" s="159"/>
      <c r="B39" s="1191"/>
      <c r="C39" s="735" t="str">
        <f>'Optimalizačné opatrenia'!$B$6</f>
        <v>Elektronizácia</v>
      </c>
      <c r="D39" s="788" t="str">
        <f t="shared" si="29"/>
        <v>A</v>
      </c>
      <c r="E39" s="773" t="s">
        <v>542</v>
      </c>
      <c r="F39" s="773" t="s">
        <v>542</v>
      </c>
      <c r="G39" s="773" t="str">
        <f t="shared" si="30"/>
        <v>A</v>
      </c>
      <c r="H39" s="773"/>
      <c r="I39" s="773"/>
      <c r="J39" s="773"/>
      <c r="K39" s="773"/>
      <c r="L39" s="773"/>
      <c r="M39" s="773"/>
      <c r="N39" s="773" t="str">
        <f t="shared" si="31"/>
        <v>A</v>
      </c>
      <c r="O39" s="773"/>
      <c r="P39" s="773" t="str">
        <f t="shared" si="32"/>
        <v>A</v>
      </c>
      <c r="Q39" s="773" t="str">
        <f t="shared" si="32"/>
        <v>A</v>
      </c>
      <c r="R39" s="773" t="s">
        <v>541</v>
      </c>
      <c r="S39" s="773" t="str">
        <f t="shared" si="33"/>
        <v>A</v>
      </c>
      <c r="T39" s="773" t="str">
        <f t="shared" si="34"/>
        <v>A</v>
      </c>
      <c r="U39" s="773" t="str">
        <f t="shared" si="35"/>
        <v>A</v>
      </c>
      <c r="V39" s="773" t="str">
        <f t="shared" si="36"/>
        <v>A</v>
      </c>
      <c r="W39" s="773" t="str">
        <f t="shared" si="37"/>
        <v>A</v>
      </c>
      <c r="X39" s="773" t="str">
        <f t="shared" si="37"/>
        <v>A</v>
      </c>
      <c r="Y39" s="773" t="str">
        <f t="shared" si="38"/>
        <v>A</v>
      </c>
      <c r="Z39" s="773" t="str">
        <f t="shared" si="39"/>
        <v>A</v>
      </c>
      <c r="AA39" s="773" t="str">
        <f t="shared" si="40"/>
        <v>A</v>
      </c>
      <c r="AB39" s="773" t="str">
        <f t="shared" si="41"/>
        <v>A</v>
      </c>
      <c r="AC39" s="773" t="str">
        <f t="shared" si="41"/>
        <v>A</v>
      </c>
      <c r="AD39" s="876"/>
      <c r="AE39" s="863"/>
      <c r="AF39" s="870"/>
      <c r="AG39" s="1043"/>
      <c r="AH39" s="802"/>
      <c r="AI39" s="803"/>
    </row>
    <row r="40" spans="1:51" hidden="1" outlineLevel="1" x14ac:dyDescent="0.3">
      <c r="A40" s="159"/>
      <c r="B40" s="1191"/>
      <c r="C40" s="735" t="str">
        <f>'Optimalizačné opatrenia'!$B$7</f>
        <v>Automatizácia</v>
      </c>
      <c r="D40" s="788" t="str">
        <f t="shared" si="29"/>
        <v>A</v>
      </c>
      <c r="E40" s="773" t="s">
        <v>542</v>
      </c>
      <c r="F40" s="773" t="s">
        <v>542</v>
      </c>
      <c r="G40" s="773" t="str">
        <f t="shared" si="30"/>
        <v>A</v>
      </c>
      <c r="H40" s="773"/>
      <c r="I40" s="773"/>
      <c r="J40" s="773"/>
      <c r="K40" s="773"/>
      <c r="L40" s="773"/>
      <c r="M40" s="773"/>
      <c r="N40" s="773" t="str">
        <f t="shared" si="31"/>
        <v>A</v>
      </c>
      <c r="O40" s="773"/>
      <c r="P40" s="773" t="str">
        <f t="shared" si="32"/>
        <v>A</v>
      </c>
      <c r="Q40" s="773" t="str">
        <f t="shared" si="32"/>
        <v>A</v>
      </c>
      <c r="R40" s="773" t="s">
        <v>541</v>
      </c>
      <c r="S40" s="773" t="str">
        <f t="shared" si="33"/>
        <v>A</v>
      </c>
      <c r="T40" s="773" t="str">
        <f t="shared" si="34"/>
        <v>A</v>
      </c>
      <c r="U40" s="773" t="str">
        <f t="shared" si="35"/>
        <v>A</v>
      </c>
      <c r="V40" s="773" t="str">
        <f t="shared" si="36"/>
        <v>A</v>
      </c>
      <c r="W40" s="773" t="str">
        <f t="shared" si="37"/>
        <v>A</v>
      </c>
      <c r="X40" s="773" t="str">
        <f t="shared" si="37"/>
        <v>A</v>
      </c>
      <c r="Y40" s="773" t="str">
        <f t="shared" si="38"/>
        <v>A</v>
      </c>
      <c r="Z40" s="773" t="str">
        <f t="shared" si="39"/>
        <v>A</v>
      </c>
      <c r="AA40" s="773" t="str">
        <f t="shared" si="40"/>
        <v>A</v>
      </c>
      <c r="AB40" s="773" t="str">
        <f t="shared" si="41"/>
        <v>A</v>
      </c>
      <c r="AC40" s="773" t="str">
        <f t="shared" si="41"/>
        <v>A</v>
      </c>
      <c r="AD40" s="876"/>
      <c r="AE40" s="863"/>
      <c r="AF40" s="870"/>
      <c r="AG40" s="1043"/>
      <c r="AH40" s="802"/>
      <c r="AI40" s="803"/>
    </row>
    <row r="41" spans="1:51" hidden="1" outlineLevel="1" x14ac:dyDescent="0.3">
      <c r="A41" s="159"/>
      <c r="B41" s="1191"/>
      <c r="C41" s="735" t="str">
        <f>'Optimalizačné opatrenia'!$B$8</f>
        <v>Bezpečnosť</v>
      </c>
      <c r="D41" s="788" t="str">
        <f t="shared" si="29"/>
        <v>A</v>
      </c>
      <c r="E41" s="773" t="s">
        <v>542</v>
      </c>
      <c r="F41" s="773" t="s">
        <v>542</v>
      </c>
      <c r="G41" s="773" t="str">
        <f t="shared" si="30"/>
        <v>A</v>
      </c>
      <c r="H41" s="773"/>
      <c r="I41" s="773"/>
      <c r="J41" s="773"/>
      <c r="K41" s="773"/>
      <c r="L41" s="773"/>
      <c r="M41" s="773"/>
      <c r="N41" s="773" t="str">
        <f t="shared" si="31"/>
        <v>A</v>
      </c>
      <c r="O41" s="773"/>
      <c r="P41" s="773" t="str">
        <f t="shared" si="32"/>
        <v>A</v>
      </c>
      <c r="Q41" s="773" t="str">
        <f t="shared" si="32"/>
        <v>A</v>
      </c>
      <c r="R41" s="773" t="s">
        <v>541</v>
      </c>
      <c r="S41" s="773" t="str">
        <f t="shared" si="33"/>
        <v>A</v>
      </c>
      <c r="T41" s="773" t="str">
        <f t="shared" si="34"/>
        <v>A</v>
      </c>
      <c r="U41" s="773" t="str">
        <f t="shared" si="35"/>
        <v>A</v>
      </c>
      <c r="V41" s="773" t="str">
        <f t="shared" si="36"/>
        <v>A</v>
      </c>
      <c r="W41" s="773" t="str">
        <f t="shared" si="37"/>
        <v>A</v>
      </c>
      <c r="X41" s="773" t="str">
        <f t="shared" si="37"/>
        <v>A</v>
      </c>
      <c r="Y41" s="773" t="str">
        <f t="shared" si="38"/>
        <v>A</v>
      </c>
      <c r="Z41" s="773" t="str">
        <f t="shared" si="39"/>
        <v>A</v>
      </c>
      <c r="AA41" s="773" t="str">
        <f t="shared" si="40"/>
        <v>A</v>
      </c>
      <c r="AB41" s="773" t="str">
        <f t="shared" si="41"/>
        <v>A</v>
      </c>
      <c r="AC41" s="773" t="str">
        <f t="shared" si="41"/>
        <v>A</v>
      </c>
      <c r="AD41" s="876"/>
      <c r="AE41" s="863"/>
      <c r="AF41" s="870"/>
      <c r="AG41" s="1043"/>
      <c r="AH41" s="802"/>
      <c r="AI41" s="803"/>
    </row>
    <row r="42" spans="1:51" hidden="1" outlineLevel="1" x14ac:dyDescent="0.3">
      <c r="A42" s="159"/>
      <c r="B42" s="1191"/>
      <c r="C42" s="735" t="str">
        <f>'Optimalizačné opatrenia'!$B$9</f>
        <v>Auditovateľnosť</v>
      </c>
      <c r="D42" s="788" t="str">
        <f t="shared" si="29"/>
        <v>A</v>
      </c>
      <c r="E42" s="773" t="s">
        <v>542</v>
      </c>
      <c r="F42" s="773" t="s">
        <v>542</v>
      </c>
      <c r="G42" s="773" t="str">
        <f t="shared" si="30"/>
        <v>A</v>
      </c>
      <c r="H42" s="773"/>
      <c r="I42" s="773"/>
      <c r="J42" s="773"/>
      <c r="K42" s="773"/>
      <c r="L42" s="773"/>
      <c r="M42" s="773"/>
      <c r="N42" s="773" t="str">
        <f t="shared" si="31"/>
        <v>A</v>
      </c>
      <c r="O42" s="773"/>
      <c r="P42" s="773" t="str">
        <f t="shared" si="32"/>
        <v>A</v>
      </c>
      <c r="Q42" s="773" t="str">
        <f t="shared" si="32"/>
        <v>A</v>
      </c>
      <c r="R42" s="773" t="s">
        <v>542</v>
      </c>
      <c r="S42" s="773" t="str">
        <f t="shared" si="33"/>
        <v>N</v>
      </c>
      <c r="T42" s="773" t="str">
        <f t="shared" si="34"/>
        <v>A</v>
      </c>
      <c r="U42" s="773" t="str">
        <f t="shared" si="35"/>
        <v>A</v>
      </c>
      <c r="V42" s="773" t="str">
        <f t="shared" si="36"/>
        <v>A</v>
      </c>
      <c r="W42" s="773" t="str">
        <f t="shared" si="37"/>
        <v>A</v>
      </c>
      <c r="X42" s="773" t="str">
        <f t="shared" si="37"/>
        <v>A</v>
      </c>
      <c r="Y42" s="773" t="str">
        <f t="shared" si="38"/>
        <v>N</v>
      </c>
      <c r="Z42" s="773" t="str">
        <f t="shared" si="39"/>
        <v>A</v>
      </c>
      <c r="AA42" s="773" t="str">
        <f t="shared" si="40"/>
        <v>A</v>
      </c>
      <c r="AB42" s="773" t="str">
        <f t="shared" si="41"/>
        <v>N</v>
      </c>
      <c r="AC42" s="773" t="str">
        <f t="shared" si="41"/>
        <v>N</v>
      </c>
      <c r="AD42" s="876"/>
      <c r="AE42" s="863"/>
      <c r="AF42" s="870"/>
      <c r="AG42" s="1043"/>
      <c r="AH42" s="802"/>
      <c r="AI42" s="803"/>
    </row>
    <row r="43" spans="1:51" hidden="1" outlineLevel="1" x14ac:dyDescent="0.3">
      <c r="A43" s="159"/>
      <c r="B43" s="1191"/>
      <c r="C43" s="735" t="str">
        <f>'Optimalizačné opatrenia'!$B$10</f>
        <v>Transparentnosť</v>
      </c>
      <c r="D43" s="788" t="str">
        <f t="shared" si="29"/>
        <v>N</v>
      </c>
      <c r="E43" s="773" t="s">
        <v>542</v>
      </c>
      <c r="F43" s="773" t="s">
        <v>542</v>
      </c>
      <c r="G43" s="773" t="str">
        <f t="shared" si="30"/>
        <v>N</v>
      </c>
      <c r="H43" s="773"/>
      <c r="I43" s="773"/>
      <c r="J43" s="773"/>
      <c r="K43" s="773"/>
      <c r="L43" s="773"/>
      <c r="M43" s="773"/>
      <c r="N43" s="773" t="str">
        <f t="shared" si="31"/>
        <v>N</v>
      </c>
      <c r="O43" s="773"/>
      <c r="P43" s="773" t="str">
        <f t="shared" si="32"/>
        <v>A</v>
      </c>
      <c r="Q43" s="773" t="str">
        <f t="shared" si="32"/>
        <v>N</v>
      </c>
      <c r="R43" s="773" t="s">
        <v>542</v>
      </c>
      <c r="S43" s="773" t="str">
        <f t="shared" si="33"/>
        <v>N</v>
      </c>
      <c r="T43" s="773" t="str">
        <f t="shared" si="34"/>
        <v>N</v>
      </c>
      <c r="U43" s="773" t="str">
        <f t="shared" si="35"/>
        <v>N</v>
      </c>
      <c r="V43" s="773" t="str">
        <f t="shared" si="36"/>
        <v>A</v>
      </c>
      <c r="W43" s="773" t="str">
        <f t="shared" si="37"/>
        <v>N</v>
      </c>
      <c r="X43" s="773" t="str">
        <f t="shared" si="37"/>
        <v>N</v>
      </c>
      <c r="Y43" s="773" t="str">
        <f t="shared" si="38"/>
        <v>N</v>
      </c>
      <c r="Z43" s="773" t="str">
        <f t="shared" si="39"/>
        <v>N</v>
      </c>
      <c r="AA43" s="773" t="str">
        <f t="shared" si="40"/>
        <v>A</v>
      </c>
      <c r="AB43" s="773" t="str">
        <f t="shared" si="41"/>
        <v>N</v>
      </c>
      <c r="AC43" s="773" t="str">
        <f t="shared" si="41"/>
        <v>N</v>
      </c>
      <c r="AD43" s="876"/>
      <c r="AE43" s="863"/>
      <c r="AF43" s="870"/>
      <c r="AG43" s="1043"/>
      <c r="AH43" s="802"/>
      <c r="AI43" s="803"/>
    </row>
    <row r="44" spans="1:51" hidden="1" outlineLevel="1" x14ac:dyDescent="0.3">
      <c r="A44" s="159"/>
      <c r="B44" s="1191"/>
      <c r="C44" s="735" t="str">
        <f>'Optimalizačné opatrenia'!$B$11</f>
        <v>Analyzovatelnosť</v>
      </c>
      <c r="D44" s="788" t="str">
        <f t="shared" si="29"/>
        <v>A</v>
      </c>
      <c r="E44" s="773" t="s">
        <v>542</v>
      </c>
      <c r="F44" s="773" t="s">
        <v>542</v>
      </c>
      <c r="G44" s="773" t="str">
        <f t="shared" si="30"/>
        <v>A</v>
      </c>
      <c r="H44" s="773"/>
      <c r="I44" s="773"/>
      <c r="J44" s="773"/>
      <c r="K44" s="773"/>
      <c r="L44" s="773"/>
      <c r="M44" s="773"/>
      <c r="N44" s="773" t="str">
        <f t="shared" si="31"/>
        <v>A</v>
      </c>
      <c r="O44" s="773"/>
      <c r="P44" s="773" t="str">
        <f t="shared" si="32"/>
        <v>A</v>
      </c>
      <c r="Q44" s="773" t="str">
        <f t="shared" si="32"/>
        <v>A</v>
      </c>
      <c r="R44" s="773" t="s">
        <v>542</v>
      </c>
      <c r="S44" s="773" t="str">
        <f t="shared" si="33"/>
        <v>N</v>
      </c>
      <c r="T44" s="773" t="str">
        <f t="shared" si="34"/>
        <v>A</v>
      </c>
      <c r="U44" s="773" t="str">
        <f t="shared" si="35"/>
        <v>A</v>
      </c>
      <c r="V44" s="773" t="str">
        <f t="shared" si="36"/>
        <v>A</v>
      </c>
      <c r="W44" s="773" t="str">
        <f t="shared" si="37"/>
        <v>A</v>
      </c>
      <c r="X44" s="773" t="str">
        <f t="shared" si="37"/>
        <v>A</v>
      </c>
      <c r="Y44" s="773" t="str">
        <f t="shared" si="38"/>
        <v>N</v>
      </c>
      <c r="Z44" s="773" t="str">
        <f t="shared" si="39"/>
        <v>A</v>
      </c>
      <c r="AA44" s="773" t="str">
        <f t="shared" si="40"/>
        <v>A</v>
      </c>
      <c r="AB44" s="773" t="str">
        <f t="shared" si="41"/>
        <v>N</v>
      </c>
      <c r="AC44" s="773" t="str">
        <f t="shared" si="41"/>
        <v>N</v>
      </c>
      <c r="AD44" s="876"/>
      <c r="AE44" s="863"/>
      <c r="AF44" s="870"/>
      <c r="AG44" s="1043"/>
      <c r="AH44" s="802"/>
      <c r="AI44" s="803"/>
    </row>
    <row r="45" spans="1:51" hidden="1" outlineLevel="1" x14ac:dyDescent="0.3">
      <c r="A45" s="159"/>
      <c r="B45" s="1191"/>
      <c r="C45" s="735" t="str">
        <f>'Optimalizačné opatrenia'!$B$12</f>
        <v>Integrácia</v>
      </c>
      <c r="D45" s="788" t="str">
        <f t="shared" si="29"/>
        <v>A</v>
      </c>
      <c r="E45" s="773" t="s">
        <v>542</v>
      </c>
      <c r="F45" s="773" t="s">
        <v>542</v>
      </c>
      <c r="G45" s="773" t="str">
        <f t="shared" si="30"/>
        <v>A</v>
      </c>
      <c r="H45" s="773"/>
      <c r="I45" s="773"/>
      <c r="J45" s="773"/>
      <c r="K45" s="773"/>
      <c r="L45" s="773"/>
      <c r="M45" s="773"/>
      <c r="N45" s="773" t="str">
        <f t="shared" si="31"/>
        <v>A</v>
      </c>
      <c r="O45" s="773"/>
      <c r="P45" s="773" t="str">
        <f t="shared" si="32"/>
        <v>A</v>
      </c>
      <c r="Q45" s="773" t="str">
        <f t="shared" si="32"/>
        <v>A</v>
      </c>
      <c r="R45" s="773" t="s">
        <v>541</v>
      </c>
      <c r="S45" s="773" t="str">
        <f t="shared" si="33"/>
        <v>A</v>
      </c>
      <c r="T45" s="773" t="str">
        <f t="shared" si="34"/>
        <v>A</v>
      </c>
      <c r="U45" s="773" t="str">
        <f t="shared" si="35"/>
        <v>A</v>
      </c>
      <c r="V45" s="773" t="str">
        <f t="shared" si="36"/>
        <v>A</v>
      </c>
      <c r="W45" s="773" t="str">
        <f t="shared" si="37"/>
        <v>A</v>
      </c>
      <c r="X45" s="773" t="str">
        <f t="shared" si="37"/>
        <v>A</v>
      </c>
      <c r="Y45" s="773" t="str">
        <f t="shared" si="38"/>
        <v>A</v>
      </c>
      <c r="Z45" s="773" t="str">
        <f t="shared" si="39"/>
        <v>A</v>
      </c>
      <c r="AA45" s="773" t="str">
        <f t="shared" si="40"/>
        <v>A</v>
      </c>
      <c r="AB45" s="773" t="str">
        <f t="shared" si="41"/>
        <v>A</v>
      </c>
      <c r="AC45" s="773" t="str">
        <f t="shared" si="41"/>
        <v>A</v>
      </c>
      <c r="AD45" s="876"/>
      <c r="AE45" s="863"/>
      <c r="AF45" s="870"/>
      <c r="AG45" s="1043"/>
      <c r="AH45" s="802"/>
      <c r="AI45" s="803"/>
    </row>
    <row r="46" spans="1:51" hidden="1" outlineLevel="1" x14ac:dyDescent="0.3">
      <c r="A46" s="159"/>
      <c r="B46" s="1191"/>
      <c r="C46" s="740" t="str">
        <f>'Optimalizačné opatrenia'!$B$13</f>
        <v>Proaktivita</v>
      </c>
      <c r="D46" s="788" t="str">
        <f t="shared" si="29"/>
        <v>N</v>
      </c>
      <c r="E46" s="773" t="s">
        <v>542</v>
      </c>
      <c r="F46" s="773" t="s">
        <v>542</v>
      </c>
      <c r="G46" s="773" t="str">
        <f t="shared" si="30"/>
        <v>N</v>
      </c>
      <c r="H46" s="773"/>
      <c r="I46" s="773"/>
      <c r="J46" s="773"/>
      <c r="K46" s="773"/>
      <c r="L46" s="773"/>
      <c r="M46" s="773"/>
      <c r="N46" s="773" t="str">
        <f t="shared" si="31"/>
        <v>N</v>
      </c>
      <c r="O46" s="773"/>
      <c r="P46" s="773" t="str">
        <f t="shared" si="32"/>
        <v>N</v>
      </c>
      <c r="Q46" s="773" t="str">
        <f t="shared" si="32"/>
        <v>N</v>
      </c>
      <c r="R46" s="773" t="s">
        <v>541</v>
      </c>
      <c r="S46" s="773" t="str">
        <f t="shared" si="33"/>
        <v>A</v>
      </c>
      <c r="T46" s="773" t="str">
        <f t="shared" si="34"/>
        <v>A</v>
      </c>
      <c r="U46" s="773" t="str">
        <f t="shared" si="35"/>
        <v>N</v>
      </c>
      <c r="V46" s="773" t="str">
        <f t="shared" si="36"/>
        <v>A</v>
      </c>
      <c r="W46" s="773" t="str">
        <f t="shared" si="37"/>
        <v>N</v>
      </c>
      <c r="X46" s="773" t="str">
        <f t="shared" si="37"/>
        <v>N</v>
      </c>
      <c r="Y46" s="773" t="str">
        <f t="shared" si="38"/>
        <v>A</v>
      </c>
      <c r="Z46" s="773" t="str">
        <f t="shared" si="39"/>
        <v>A</v>
      </c>
      <c r="AA46" s="773" t="str">
        <f t="shared" si="40"/>
        <v>A</v>
      </c>
      <c r="AB46" s="773" t="str">
        <f t="shared" si="41"/>
        <v>A</v>
      </c>
      <c r="AC46" s="773" t="str">
        <f t="shared" si="41"/>
        <v>A</v>
      </c>
      <c r="AD46" s="876"/>
      <c r="AE46" s="863"/>
      <c r="AF46" s="870"/>
      <c r="AG46" s="1043"/>
      <c r="AH46" s="802"/>
      <c r="AI46" s="803"/>
    </row>
    <row r="47" spans="1:51" hidden="1" outlineLevel="1" x14ac:dyDescent="0.3">
      <c r="A47" s="159"/>
      <c r="B47" s="790"/>
      <c r="C47" s="792" t="s">
        <v>550</v>
      </c>
      <c r="D47" s="793">
        <f t="shared" si="29"/>
        <v>0.3</v>
      </c>
      <c r="E47" s="791">
        <v>0</v>
      </c>
      <c r="F47" s="794">
        <v>0</v>
      </c>
      <c r="G47" s="794">
        <f t="shared" si="30"/>
        <v>0.3</v>
      </c>
      <c r="H47" s="794"/>
      <c r="I47" s="794"/>
      <c r="J47" s="794"/>
      <c r="K47" s="794"/>
      <c r="L47" s="794"/>
      <c r="M47" s="794"/>
      <c r="N47" s="794">
        <f t="shared" si="31"/>
        <v>0.3</v>
      </c>
      <c r="O47" s="794"/>
      <c r="P47" s="794">
        <f t="shared" si="32"/>
        <v>0.45</v>
      </c>
      <c r="Q47" s="794">
        <f t="shared" si="32"/>
        <v>0.3</v>
      </c>
      <c r="R47" s="794">
        <v>0.25</v>
      </c>
      <c r="S47" s="794">
        <f t="shared" si="33"/>
        <v>0.25</v>
      </c>
      <c r="T47" s="794">
        <f t="shared" si="34"/>
        <v>0.4</v>
      </c>
      <c r="U47" s="794">
        <f t="shared" si="35"/>
        <v>0.3</v>
      </c>
      <c r="V47" s="794">
        <f t="shared" si="36"/>
        <v>0.5</v>
      </c>
      <c r="W47" s="794">
        <f t="shared" si="37"/>
        <v>0.3</v>
      </c>
      <c r="X47" s="794">
        <f t="shared" si="37"/>
        <v>0.3</v>
      </c>
      <c r="Y47" s="794">
        <f t="shared" si="38"/>
        <v>0.25</v>
      </c>
      <c r="Z47" s="794">
        <f t="shared" si="39"/>
        <v>0.4</v>
      </c>
      <c r="AA47" s="794">
        <f t="shared" si="40"/>
        <v>0.5</v>
      </c>
      <c r="AB47" s="794">
        <f t="shared" si="41"/>
        <v>0.25</v>
      </c>
      <c r="AC47" s="794">
        <f t="shared" si="41"/>
        <v>0.25</v>
      </c>
      <c r="AD47" s="877"/>
      <c r="AE47" s="864"/>
      <c r="AF47" s="871"/>
      <c r="AG47" s="1044"/>
      <c r="AH47" s="805"/>
      <c r="AI47" s="806"/>
    </row>
    <row r="48" spans="1:51" ht="43.8" customHeight="1" collapsed="1" x14ac:dyDescent="0.3">
      <c r="A48" s="159">
        <f ca="1">OFFSET(A48,-14,0)+1</f>
        <v>4</v>
      </c>
      <c r="B48" s="234" t="str">
        <f ca="1">'Procesy - AS IS'!B15</f>
        <v>Meranie č. 4</v>
      </c>
      <c r="C48" s="718" t="str">
        <f>'Procesy - AS IS'!C15</f>
        <v>TANYA TRANS, s.r.o. Ľuda Zúbka, 901 01 Malacky , Mimoriadne zhoršenie vôd, 109/012/2018/NR</v>
      </c>
      <c r="D48" s="796">
        <f>-'Procesy - AS IS'!D17*D61</f>
        <v>0</v>
      </c>
      <c r="E48" s="721">
        <f>-'Procesy - AS IS'!E17*E61</f>
        <v>0</v>
      </c>
      <c r="F48" s="721">
        <f>-'Procesy - AS IS'!F17*F61</f>
        <v>0</v>
      </c>
      <c r="G48" s="721">
        <f>-'Procesy - AS IS'!G17*G61</f>
        <v>-3</v>
      </c>
      <c r="H48" s="721" t="s">
        <v>568</v>
      </c>
      <c r="I48" s="721" t="s">
        <v>568</v>
      </c>
      <c r="J48" s="721" t="s">
        <v>568</v>
      </c>
      <c r="K48" s="721" t="s">
        <v>568</v>
      </c>
      <c r="L48" s="721" t="s">
        <v>568</v>
      </c>
      <c r="M48" s="721" t="s">
        <v>568</v>
      </c>
      <c r="N48" s="721">
        <f>-'Procesy - AS IS'!N17*N61</f>
        <v>0</v>
      </c>
      <c r="O48" s="721" t="s">
        <v>572</v>
      </c>
      <c r="P48" s="721">
        <f>-'Procesy - AS IS'!P17*P61</f>
        <v>-1.8</v>
      </c>
      <c r="Q48" s="721">
        <f>-'Procesy - AS IS'!Q17*Q61</f>
        <v>0</v>
      </c>
      <c r="R48" s="721">
        <f>-'Procesy - AS IS'!R17*R61</f>
        <v>-8.1361256544502609</v>
      </c>
      <c r="S48" s="721">
        <f>-'Procesy - AS IS'!S17*S61</f>
        <v>-5.8638743455497382</v>
      </c>
      <c r="T48" s="721">
        <f>-'Procesy - AS IS'!T17*T61</f>
        <v>-1.8596858638743456</v>
      </c>
      <c r="U48" s="721">
        <f>-'Procesy - AS IS'!U17*U61</f>
        <v>-1.0052356020942408</v>
      </c>
      <c r="V48" s="721">
        <f>-'Procesy - AS IS'!V17*V61</f>
        <v>-4</v>
      </c>
      <c r="W48" s="721">
        <f>-'Procesy - AS IS'!W17*W61</f>
        <v>-0.49005235602094238</v>
      </c>
      <c r="X48" s="721">
        <f>-'Procesy - AS IS'!X17*X61</f>
        <v>0</v>
      </c>
      <c r="Y48" s="721">
        <f>-'Procesy - AS IS'!Y17*Y61</f>
        <v>-2.4502617801047117</v>
      </c>
      <c r="Z48" s="721">
        <f>-'Procesy - AS IS'!Z17*Z61</f>
        <v>0</v>
      </c>
      <c r="AA48" s="721">
        <f>-'Procesy - AS IS'!AA17*AA61</f>
        <v>0</v>
      </c>
      <c r="AB48" s="721">
        <f>-'Procesy - AS IS'!AB17*AB61</f>
        <v>0</v>
      </c>
      <c r="AC48" s="721">
        <f>-'Procesy - AS IS'!AC17*AC61</f>
        <v>0</v>
      </c>
      <c r="AD48" s="824">
        <f>SUM(D48:AC48)</f>
        <v>-28.605235602094243</v>
      </c>
      <c r="AE48" s="798">
        <f>AD48/'Procesy - AS IS'!AD17</f>
        <v>-0.29358409457281037</v>
      </c>
      <c r="AF48" s="869">
        <f>('Procesy - AS IS'!AG14/(1+$AE48)-'Procesy - AS IS'!AG14)/2</f>
        <v>39.689481531065525</v>
      </c>
      <c r="AG48" s="1042">
        <f>('Procesy - AS IS'!AH14/(1+$AE48)-'Procesy - AS IS'!AH14)/2</f>
        <v>23.065614921195163</v>
      </c>
      <c r="AH48" s="800">
        <f>('Procesy - AS IS'!AI14/(1+$AE48)-'Procesy - AS IS'!AI14)/2</f>
        <v>16.208269944623623</v>
      </c>
      <c r="AI48" s="801">
        <f>('Procesy - AS IS'!AJ14/(1+$AE48)-'Procesy - AS IS'!AJ14)/2</f>
        <v>0</v>
      </c>
      <c r="AK48" s="232"/>
      <c r="AY48" s="227"/>
    </row>
    <row r="49" spans="1:51" hidden="1" outlineLevel="1" x14ac:dyDescent="0.3">
      <c r="A49" s="159"/>
      <c r="B49" s="1190" t="s">
        <v>540</v>
      </c>
      <c r="C49" s="735" t="str">
        <f>'Optimalizačné opatrenia'!$B$2</f>
        <v>Modernizácia</v>
      </c>
      <c r="D49" s="773" t="str">
        <f t="shared" ref="D49:G61" si="42">D35</f>
        <v>A</v>
      </c>
      <c r="E49" s="742" t="str">
        <f t="shared" si="42"/>
        <v>N</v>
      </c>
      <c r="F49" s="773" t="str">
        <f t="shared" si="42"/>
        <v>N</v>
      </c>
      <c r="G49" s="773" t="str">
        <f t="shared" si="42"/>
        <v>A</v>
      </c>
      <c r="H49" s="773"/>
      <c r="I49" s="773"/>
      <c r="J49" s="773"/>
      <c r="K49" s="773"/>
      <c r="L49" s="773"/>
      <c r="M49" s="773"/>
      <c r="N49" s="773" t="str">
        <f t="shared" ref="N49" si="43">N35</f>
        <v>A</v>
      </c>
      <c r="O49" s="773"/>
      <c r="P49" s="773" t="str">
        <f t="shared" ref="P49:AC49" si="44">P35</f>
        <v>A</v>
      </c>
      <c r="Q49" s="773" t="str">
        <f t="shared" si="44"/>
        <v>A</v>
      </c>
      <c r="R49" s="773" t="str">
        <f t="shared" si="44"/>
        <v>A</v>
      </c>
      <c r="S49" s="773" t="str">
        <f t="shared" si="44"/>
        <v>A</v>
      </c>
      <c r="T49" s="773" t="str">
        <f t="shared" si="44"/>
        <v>A</v>
      </c>
      <c r="U49" s="773" t="str">
        <f t="shared" si="44"/>
        <v>A</v>
      </c>
      <c r="V49" s="773" t="str">
        <f t="shared" si="44"/>
        <v>A</v>
      </c>
      <c r="W49" s="773" t="str">
        <f t="shared" si="44"/>
        <v>A</v>
      </c>
      <c r="X49" s="773" t="str">
        <f t="shared" si="44"/>
        <v>A</v>
      </c>
      <c r="Y49" s="773" t="str">
        <f t="shared" si="44"/>
        <v>A</v>
      </c>
      <c r="Z49" s="773" t="str">
        <f t="shared" si="44"/>
        <v>A</v>
      </c>
      <c r="AA49" s="773" t="str">
        <f t="shared" si="44"/>
        <v>A</v>
      </c>
      <c r="AB49" s="773" t="str">
        <f t="shared" si="44"/>
        <v>A</v>
      </c>
      <c r="AC49" s="773" t="str">
        <f t="shared" si="44"/>
        <v>A</v>
      </c>
      <c r="AD49" s="876"/>
      <c r="AE49" s="863"/>
      <c r="AF49" s="870"/>
      <c r="AG49" s="1043"/>
      <c r="AH49" s="802"/>
      <c r="AI49" s="803"/>
    </row>
    <row r="50" spans="1:51" hidden="1" outlineLevel="1" x14ac:dyDescent="0.3">
      <c r="A50" s="159"/>
      <c r="B50" s="1191"/>
      <c r="C50" s="735" t="str">
        <f>'Optimalizačné opatrenia'!$B$3</f>
        <v>Sfunkčnenie</v>
      </c>
      <c r="D50" s="788" t="str">
        <f t="shared" si="42"/>
        <v>N</v>
      </c>
      <c r="E50" s="773" t="str">
        <f t="shared" si="42"/>
        <v>N</v>
      </c>
      <c r="F50" s="773" t="str">
        <f t="shared" si="42"/>
        <v>N</v>
      </c>
      <c r="G50" s="773" t="str">
        <f t="shared" si="42"/>
        <v>N</v>
      </c>
      <c r="H50" s="773"/>
      <c r="I50" s="773"/>
      <c r="J50" s="773"/>
      <c r="K50" s="773"/>
      <c r="L50" s="773"/>
      <c r="M50" s="773"/>
      <c r="N50" s="773" t="str">
        <f t="shared" ref="N50" si="45">N36</f>
        <v>N</v>
      </c>
      <c r="O50" s="773"/>
      <c r="P50" s="773" t="str">
        <f t="shared" ref="P50:AC50" si="46">P36</f>
        <v>N</v>
      </c>
      <c r="Q50" s="773" t="str">
        <f t="shared" si="46"/>
        <v>N</v>
      </c>
      <c r="R50" s="773" t="str">
        <f t="shared" si="46"/>
        <v>N</v>
      </c>
      <c r="S50" s="773" t="str">
        <f t="shared" si="46"/>
        <v>N</v>
      </c>
      <c r="T50" s="773" t="str">
        <f t="shared" si="46"/>
        <v>N</v>
      </c>
      <c r="U50" s="773" t="str">
        <f t="shared" si="46"/>
        <v>N</v>
      </c>
      <c r="V50" s="773" t="str">
        <f t="shared" si="46"/>
        <v>N</v>
      </c>
      <c r="W50" s="773" t="str">
        <f t="shared" si="46"/>
        <v>N</v>
      </c>
      <c r="X50" s="773" t="str">
        <f t="shared" si="46"/>
        <v>N</v>
      </c>
      <c r="Y50" s="773" t="str">
        <f t="shared" si="46"/>
        <v>N</v>
      </c>
      <c r="Z50" s="773" t="str">
        <f t="shared" si="46"/>
        <v>N</v>
      </c>
      <c r="AA50" s="773" t="str">
        <f t="shared" si="46"/>
        <v>N</v>
      </c>
      <c r="AB50" s="773" t="str">
        <f t="shared" si="46"/>
        <v>N</v>
      </c>
      <c r="AC50" s="773" t="str">
        <f t="shared" si="46"/>
        <v>N</v>
      </c>
      <c r="AD50" s="876"/>
      <c r="AE50" s="863"/>
      <c r="AF50" s="870"/>
      <c r="AG50" s="1043"/>
      <c r="AH50" s="802"/>
      <c r="AI50" s="803"/>
    </row>
    <row r="51" spans="1:51" hidden="1" outlineLevel="1" x14ac:dyDescent="0.3">
      <c r="A51" s="159"/>
      <c r="B51" s="1191"/>
      <c r="C51" s="735" t="str">
        <f>'Optimalizačné opatrenia'!$B$4</f>
        <v>Zjednotenie</v>
      </c>
      <c r="D51" s="788" t="str">
        <f t="shared" si="42"/>
        <v>A</v>
      </c>
      <c r="E51" s="773" t="str">
        <f t="shared" si="42"/>
        <v>N</v>
      </c>
      <c r="F51" s="773" t="str">
        <f t="shared" si="42"/>
        <v>N</v>
      </c>
      <c r="G51" s="773" t="str">
        <f t="shared" si="42"/>
        <v>A</v>
      </c>
      <c r="H51" s="773"/>
      <c r="I51" s="773"/>
      <c r="J51" s="773"/>
      <c r="K51" s="773"/>
      <c r="L51" s="773"/>
      <c r="M51" s="773"/>
      <c r="N51" s="773" t="str">
        <f t="shared" ref="N51" si="47">N37</f>
        <v>A</v>
      </c>
      <c r="O51" s="773"/>
      <c r="P51" s="773" t="str">
        <f t="shared" ref="P51:AC51" si="48">P37</f>
        <v>A</v>
      </c>
      <c r="Q51" s="773" t="str">
        <f t="shared" si="48"/>
        <v>A</v>
      </c>
      <c r="R51" s="773" t="str">
        <f t="shared" si="48"/>
        <v>A</v>
      </c>
      <c r="S51" s="773" t="str">
        <f t="shared" si="48"/>
        <v>A</v>
      </c>
      <c r="T51" s="773" t="str">
        <f t="shared" si="48"/>
        <v>A</v>
      </c>
      <c r="U51" s="773" t="str">
        <f t="shared" si="48"/>
        <v>A</v>
      </c>
      <c r="V51" s="773" t="str">
        <f t="shared" si="48"/>
        <v>A</v>
      </c>
      <c r="W51" s="773" t="str">
        <f t="shared" si="48"/>
        <v>A</v>
      </c>
      <c r="X51" s="773" t="str">
        <f t="shared" si="48"/>
        <v>A</v>
      </c>
      <c r="Y51" s="773" t="str">
        <f t="shared" si="48"/>
        <v>A</v>
      </c>
      <c r="Z51" s="773" t="str">
        <f t="shared" si="48"/>
        <v>A</v>
      </c>
      <c r="AA51" s="773" t="str">
        <f t="shared" si="48"/>
        <v>A</v>
      </c>
      <c r="AB51" s="773" t="str">
        <f t="shared" si="48"/>
        <v>A</v>
      </c>
      <c r="AC51" s="773" t="str">
        <f t="shared" si="48"/>
        <v>A</v>
      </c>
      <c r="AD51" s="876"/>
      <c r="AE51" s="863"/>
      <c r="AF51" s="870"/>
      <c r="AG51" s="1043"/>
      <c r="AH51" s="802"/>
      <c r="AI51" s="803"/>
    </row>
    <row r="52" spans="1:51" hidden="1" outlineLevel="1" x14ac:dyDescent="0.3">
      <c r="A52" s="159"/>
      <c r="B52" s="1191"/>
      <c r="C52" s="735" t="str">
        <f>'Optimalizačné opatrenia'!$B$5</f>
        <v>Centralizácia</v>
      </c>
      <c r="D52" s="788" t="str">
        <f t="shared" si="42"/>
        <v>A</v>
      </c>
      <c r="E52" s="773" t="str">
        <f t="shared" si="42"/>
        <v>N</v>
      </c>
      <c r="F52" s="773" t="str">
        <f t="shared" si="42"/>
        <v>N</v>
      </c>
      <c r="G52" s="773" t="str">
        <f t="shared" si="42"/>
        <v>A</v>
      </c>
      <c r="H52" s="773"/>
      <c r="I52" s="773"/>
      <c r="J52" s="773"/>
      <c r="K52" s="773"/>
      <c r="L52" s="773"/>
      <c r="M52" s="773"/>
      <c r="N52" s="773" t="str">
        <f t="shared" ref="N52" si="49">N38</f>
        <v>A</v>
      </c>
      <c r="O52" s="773"/>
      <c r="P52" s="773" t="str">
        <f t="shared" ref="P52:AC52" si="50">P38</f>
        <v>A</v>
      </c>
      <c r="Q52" s="773" t="str">
        <f t="shared" si="50"/>
        <v>A</v>
      </c>
      <c r="R52" s="773" t="str">
        <f t="shared" si="50"/>
        <v>A</v>
      </c>
      <c r="S52" s="773" t="str">
        <f t="shared" si="50"/>
        <v>A</v>
      </c>
      <c r="T52" s="773" t="str">
        <f t="shared" si="50"/>
        <v>A</v>
      </c>
      <c r="U52" s="773" t="str">
        <f t="shared" si="50"/>
        <v>A</v>
      </c>
      <c r="V52" s="773" t="str">
        <f t="shared" si="50"/>
        <v>A</v>
      </c>
      <c r="W52" s="773" t="str">
        <f t="shared" si="50"/>
        <v>A</v>
      </c>
      <c r="X52" s="773" t="str">
        <f t="shared" si="50"/>
        <v>A</v>
      </c>
      <c r="Y52" s="773" t="str">
        <f t="shared" si="50"/>
        <v>A</v>
      </c>
      <c r="Z52" s="773" t="str">
        <f t="shared" si="50"/>
        <v>A</v>
      </c>
      <c r="AA52" s="773" t="str">
        <f t="shared" si="50"/>
        <v>A</v>
      </c>
      <c r="AB52" s="773" t="str">
        <f t="shared" si="50"/>
        <v>A</v>
      </c>
      <c r="AC52" s="773" t="str">
        <f t="shared" si="50"/>
        <v>A</v>
      </c>
      <c r="AD52" s="876"/>
      <c r="AE52" s="863"/>
      <c r="AF52" s="870"/>
      <c r="AG52" s="1043"/>
      <c r="AH52" s="802"/>
      <c r="AI52" s="803"/>
    </row>
    <row r="53" spans="1:51" hidden="1" outlineLevel="1" x14ac:dyDescent="0.3">
      <c r="A53" s="159"/>
      <c r="B53" s="1191"/>
      <c r="C53" s="735" t="str">
        <f>'Optimalizačné opatrenia'!$B$6</f>
        <v>Elektronizácia</v>
      </c>
      <c r="D53" s="788" t="str">
        <f t="shared" si="42"/>
        <v>A</v>
      </c>
      <c r="E53" s="773" t="str">
        <f t="shared" si="42"/>
        <v>N</v>
      </c>
      <c r="F53" s="773" t="str">
        <f t="shared" si="42"/>
        <v>N</v>
      </c>
      <c r="G53" s="773" t="str">
        <f t="shared" si="42"/>
        <v>A</v>
      </c>
      <c r="H53" s="773"/>
      <c r="I53" s="773"/>
      <c r="J53" s="773"/>
      <c r="K53" s="773"/>
      <c r="L53" s="773"/>
      <c r="M53" s="773"/>
      <c r="N53" s="773" t="str">
        <f t="shared" ref="N53" si="51">N39</f>
        <v>A</v>
      </c>
      <c r="O53" s="773"/>
      <c r="P53" s="773" t="str">
        <f t="shared" ref="P53:AC53" si="52">P39</f>
        <v>A</v>
      </c>
      <c r="Q53" s="773" t="str">
        <f t="shared" si="52"/>
        <v>A</v>
      </c>
      <c r="R53" s="773" t="str">
        <f t="shared" si="52"/>
        <v>A</v>
      </c>
      <c r="S53" s="773" t="str">
        <f t="shared" si="52"/>
        <v>A</v>
      </c>
      <c r="T53" s="773" t="str">
        <f t="shared" si="52"/>
        <v>A</v>
      </c>
      <c r="U53" s="773" t="str">
        <f t="shared" si="52"/>
        <v>A</v>
      </c>
      <c r="V53" s="773" t="str">
        <f t="shared" si="52"/>
        <v>A</v>
      </c>
      <c r="W53" s="773" t="str">
        <f t="shared" si="52"/>
        <v>A</v>
      </c>
      <c r="X53" s="773" t="str">
        <f t="shared" si="52"/>
        <v>A</v>
      </c>
      <c r="Y53" s="773" t="str">
        <f t="shared" si="52"/>
        <v>A</v>
      </c>
      <c r="Z53" s="773" t="str">
        <f t="shared" si="52"/>
        <v>A</v>
      </c>
      <c r="AA53" s="773" t="str">
        <f t="shared" si="52"/>
        <v>A</v>
      </c>
      <c r="AB53" s="773" t="str">
        <f t="shared" si="52"/>
        <v>A</v>
      </c>
      <c r="AC53" s="773" t="str">
        <f t="shared" si="52"/>
        <v>A</v>
      </c>
      <c r="AD53" s="876"/>
      <c r="AE53" s="863"/>
      <c r="AF53" s="870"/>
      <c r="AG53" s="1043"/>
      <c r="AH53" s="802"/>
      <c r="AI53" s="803"/>
    </row>
    <row r="54" spans="1:51" hidden="1" outlineLevel="1" x14ac:dyDescent="0.3">
      <c r="A54" s="159"/>
      <c r="B54" s="1191"/>
      <c r="C54" s="735" t="str">
        <f>'Optimalizačné opatrenia'!$B$7</f>
        <v>Automatizácia</v>
      </c>
      <c r="D54" s="788" t="str">
        <f t="shared" si="42"/>
        <v>A</v>
      </c>
      <c r="E54" s="773" t="str">
        <f t="shared" si="42"/>
        <v>N</v>
      </c>
      <c r="F54" s="773" t="str">
        <f t="shared" si="42"/>
        <v>N</v>
      </c>
      <c r="G54" s="773" t="str">
        <f t="shared" si="42"/>
        <v>A</v>
      </c>
      <c r="H54" s="773"/>
      <c r="I54" s="773"/>
      <c r="J54" s="773"/>
      <c r="K54" s="773"/>
      <c r="L54" s="773"/>
      <c r="M54" s="773"/>
      <c r="N54" s="773" t="str">
        <f t="shared" ref="N54" si="53">N40</f>
        <v>A</v>
      </c>
      <c r="O54" s="773"/>
      <c r="P54" s="773" t="str">
        <f t="shared" ref="P54:AC54" si="54">P40</f>
        <v>A</v>
      </c>
      <c r="Q54" s="773" t="str">
        <f t="shared" si="54"/>
        <v>A</v>
      </c>
      <c r="R54" s="773" t="str">
        <f t="shared" si="54"/>
        <v>A</v>
      </c>
      <c r="S54" s="773" t="str">
        <f t="shared" si="54"/>
        <v>A</v>
      </c>
      <c r="T54" s="773" t="str">
        <f t="shared" si="54"/>
        <v>A</v>
      </c>
      <c r="U54" s="773" t="str">
        <f t="shared" si="54"/>
        <v>A</v>
      </c>
      <c r="V54" s="773" t="str">
        <f t="shared" si="54"/>
        <v>A</v>
      </c>
      <c r="W54" s="773" t="str">
        <f t="shared" si="54"/>
        <v>A</v>
      </c>
      <c r="X54" s="773" t="str">
        <f t="shared" si="54"/>
        <v>A</v>
      </c>
      <c r="Y54" s="773" t="str">
        <f t="shared" si="54"/>
        <v>A</v>
      </c>
      <c r="Z54" s="773" t="str">
        <f t="shared" si="54"/>
        <v>A</v>
      </c>
      <c r="AA54" s="773" t="str">
        <f t="shared" si="54"/>
        <v>A</v>
      </c>
      <c r="AB54" s="773" t="str">
        <f t="shared" si="54"/>
        <v>A</v>
      </c>
      <c r="AC54" s="773" t="str">
        <f t="shared" si="54"/>
        <v>A</v>
      </c>
      <c r="AD54" s="876"/>
      <c r="AE54" s="863"/>
      <c r="AF54" s="870"/>
      <c r="AG54" s="1043"/>
      <c r="AH54" s="802"/>
      <c r="AI54" s="803"/>
    </row>
    <row r="55" spans="1:51" hidden="1" outlineLevel="1" x14ac:dyDescent="0.3">
      <c r="A55" s="159"/>
      <c r="B55" s="1191"/>
      <c r="C55" s="735" t="str">
        <f>'Optimalizačné opatrenia'!$B$8</f>
        <v>Bezpečnosť</v>
      </c>
      <c r="D55" s="788" t="str">
        <f t="shared" si="42"/>
        <v>A</v>
      </c>
      <c r="E55" s="773" t="str">
        <f t="shared" si="42"/>
        <v>N</v>
      </c>
      <c r="F55" s="773" t="str">
        <f t="shared" si="42"/>
        <v>N</v>
      </c>
      <c r="G55" s="773" t="str">
        <f t="shared" si="42"/>
        <v>A</v>
      </c>
      <c r="H55" s="773"/>
      <c r="I55" s="773"/>
      <c r="J55" s="773"/>
      <c r="K55" s="773"/>
      <c r="L55" s="773"/>
      <c r="M55" s="773"/>
      <c r="N55" s="773" t="str">
        <f t="shared" ref="N55" si="55">N41</f>
        <v>A</v>
      </c>
      <c r="O55" s="773"/>
      <c r="P55" s="773" t="str">
        <f t="shared" ref="P55:AC55" si="56">P41</f>
        <v>A</v>
      </c>
      <c r="Q55" s="773" t="str">
        <f t="shared" si="56"/>
        <v>A</v>
      </c>
      <c r="R55" s="773" t="str">
        <f t="shared" si="56"/>
        <v>A</v>
      </c>
      <c r="S55" s="773" t="str">
        <f t="shared" si="56"/>
        <v>A</v>
      </c>
      <c r="T55" s="773" t="str">
        <f t="shared" si="56"/>
        <v>A</v>
      </c>
      <c r="U55" s="773" t="str">
        <f t="shared" si="56"/>
        <v>A</v>
      </c>
      <c r="V55" s="773" t="str">
        <f t="shared" si="56"/>
        <v>A</v>
      </c>
      <c r="W55" s="773" t="str">
        <f t="shared" si="56"/>
        <v>A</v>
      </c>
      <c r="X55" s="773" t="str">
        <f t="shared" si="56"/>
        <v>A</v>
      </c>
      <c r="Y55" s="773" t="str">
        <f t="shared" si="56"/>
        <v>A</v>
      </c>
      <c r="Z55" s="773" t="str">
        <f t="shared" si="56"/>
        <v>A</v>
      </c>
      <c r="AA55" s="773" t="str">
        <f t="shared" si="56"/>
        <v>A</v>
      </c>
      <c r="AB55" s="773" t="str">
        <f t="shared" si="56"/>
        <v>A</v>
      </c>
      <c r="AC55" s="773" t="str">
        <f t="shared" si="56"/>
        <v>A</v>
      </c>
      <c r="AD55" s="876"/>
      <c r="AE55" s="863"/>
      <c r="AF55" s="870"/>
      <c r="AG55" s="1043"/>
      <c r="AH55" s="802"/>
      <c r="AI55" s="803"/>
    </row>
    <row r="56" spans="1:51" hidden="1" outlineLevel="1" x14ac:dyDescent="0.3">
      <c r="A56" s="159"/>
      <c r="B56" s="1191"/>
      <c r="C56" s="735" t="str">
        <f>'Optimalizačné opatrenia'!$B$9</f>
        <v>Auditovateľnosť</v>
      </c>
      <c r="D56" s="788" t="str">
        <f t="shared" si="42"/>
        <v>A</v>
      </c>
      <c r="E56" s="773" t="str">
        <f t="shared" si="42"/>
        <v>N</v>
      </c>
      <c r="F56" s="773" t="str">
        <f t="shared" si="42"/>
        <v>N</v>
      </c>
      <c r="G56" s="773" t="str">
        <f t="shared" si="42"/>
        <v>A</v>
      </c>
      <c r="H56" s="773"/>
      <c r="I56" s="773"/>
      <c r="J56" s="773"/>
      <c r="K56" s="773"/>
      <c r="L56" s="773"/>
      <c r="M56" s="773"/>
      <c r="N56" s="773" t="str">
        <f t="shared" ref="N56" si="57">N42</f>
        <v>A</v>
      </c>
      <c r="O56" s="773"/>
      <c r="P56" s="773" t="str">
        <f t="shared" ref="P56:AC56" si="58">P42</f>
        <v>A</v>
      </c>
      <c r="Q56" s="773" t="str">
        <f t="shared" si="58"/>
        <v>A</v>
      </c>
      <c r="R56" s="773" t="str">
        <f t="shared" si="58"/>
        <v>N</v>
      </c>
      <c r="S56" s="773" t="str">
        <f t="shared" si="58"/>
        <v>N</v>
      </c>
      <c r="T56" s="773" t="str">
        <f t="shared" si="58"/>
        <v>A</v>
      </c>
      <c r="U56" s="773" t="str">
        <f t="shared" si="58"/>
        <v>A</v>
      </c>
      <c r="V56" s="773" t="str">
        <f t="shared" si="58"/>
        <v>A</v>
      </c>
      <c r="W56" s="773" t="str">
        <f t="shared" si="58"/>
        <v>A</v>
      </c>
      <c r="X56" s="773" t="str">
        <f t="shared" si="58"/>
        <v>A</v>
      </c>
      <c r="Y56" s="773" t="str">
        <f t="shared" si="58"/>
        <v>N</v>
      </c>
      <c r="Z56" s="773" t="str">
        <f t="shared" si="58"/>
        <v>A</v>
      </c>
      <c r="AA56" s="773" t="str">
        <f t="shared" si="58"/>
        <v>A</v>
      </c>
      <c r="AB56" s="773" t="str">
        <f t="shared" si="58"/>
        <v>N</v>
      </c>
      <c r="AC56" s="773" t="str">
        <f t="shared" si="58"/>
        <v>N</v>
      </c>
      <c r="AD56" s="876"/>
      <c r="AE56" s="863"/>
      <c r="AF56" s="870"/>
      <c r="AG56" s="1043"/>
      <c r="AH56" s="802"/>
      <c r="AI56" s="803"/>
    </row>
    <row r="57" spans="1:51" hidden="1" outlineLevel="1" x14ac:dyDescent="0.3">
      <c r="A57" s="159"/>
      <c r="B57" s="1191"/>
      <c r="C57" s="735" t="str">
        <f>'Optimalizačné opatrenia'!$B$10</f>
        <v>Transparentnosť</v>
      </c>
      <c r="D57" s="788" t="str">
        <f t="shared" si="42"/>
        <v>N</v>
      </c>
      <c r="E57" s="773" t="str">
        <f t="shared" si="42"/>
        <v>N</v>
      </c>
      <c r="F57" s="773" t="str">
        <f t="shared" si="42"/>
        <v>N</v>
      </c>
      <c r="G57" s="773" t="str">
        <f t="shared" si="42"/>
        <v>N</v>
      </c>
      <c r="H57" s="773"/>
      <c r="I57" s="773"/>
      <c r="J57" s="773"/>
      <c r="K57" s="773"/>
      <c r="L57" s="773"/>
      <c r="M57" s="773"/>
      <c r="N57" s="773" t="str">
        <f t="shared" ref="N57" si="59">N43</f>
        <v>N</v>
      </c>
      <c r="O57" s="773"/>
      <c r="P57" s="773" t="str">
        <f t="shared" ref="P57:AC57" si="60">P43</f>
        <v>A</v>
      </c>
      <c r="Q57" s="773" t="str">
        <f t="shared" si="60"/>
        <v>N</v>
      </c>
      <c r="R57" s="773" t="str">
        <f t="shared" si="60"/>
        <v>N</v>
      </c>
      <c r="S57" s="773" t="str">
        <f t="shared" si="60"/>
        <v>N</v>
      </c>
      <c r="T57" s="773" t="str">
        <f t="shared" si="60"/>
        <v>N</v>
      </c>
      <c r="U57" s="773" t="str">
        <f t="shared" si="60"/>
        <v>N</v>
      </c>
      <c r="V57" s="773" t="str">
        <f t="shared" si="60"/>
        <v>A</v>
      </c>
      <c r="W57" s="773" t="str">
        <f t="shared" si="60"/>
        <v>N</v>
      </c>
      <c r="X57" s="773" t="str">
        <f t="shared" si="60"/>
        <v>N</v>
      </c>
      <c r="Y57" s="773" t="str">
        <f t="shared" si="60"/>
        <v>N</v>
      </c>
      <c r="Z57" s="773" t="str">
        <f t="shared" si="60"/>
        <v>N</v>
      </c>
      <c r="AA57" s="773" t="str">
        <f t="shared" si="60"/>
        <v>A</v>
      </c>
      <c r="AB57" s="773" t="str">
        <f t="shared" si="60"/>
        <v>N</v>
      </c>
      <c r="AC57" s="773" t="str">
        <f t="shared" si="60"/>
        <v>N</v>
      </c>
      <c r="AD57" s="876"/>
      <c r="AE57" s="863"/>
      <c r="AF57" s="870"/>
      <c r="AG57" s="1043"/>
      <c r="AH57" s="802"/>
      <c r="AI57" s="803"/>
    </row>
    <row r="58" spans="1:51" hidden="1" outlineLevel="1" x14ac:dyDescent="0.3">
      <c r="A58" s="159"/>
      <c r="B58" s="1191"/>
      <c r="C58" s="735" t="str">
        <f>'Optimalizačné opatrenia'!$B$11</f>
        <v>Analyzovatelnosť</v>
      </c>
      <c r="D58" s="788" t="str">
        <f t="shared" si="42"/>
        <v>A</v>
      </c>
      <c r="E58" s="773" t="str">
        <f t="shared" si="42"/>
        <v>N</v>
      </c>
      <c r="F58" s="773" t="str">
        <f t="shared" si="42"/>
        <v>N</v>
      </c>
      <c r="G58" s="773" t="str">
        <f t="shared" si="42"/>
        <v>A</v>
      </c>
      <c r="H58" s="773"/>
      <c r="I58" s="773"/>
      <c r="J58" s="773"/>
      <c r="K58" s="773"/>
      <c r="L58" s="773"/>
      <c r="M58" s="773"/>
      <c r="N58" s="773" t="str">
        <f t="shared" ref="N58" si="61">N44</f>
        <v>A</v>
      </c>
      <c r="O58" s="773"/>
      <c r="P58" s="773" t="str">
        <f t="shared" ref="P58:AC58" si="62">P44</f>
        <v>A</v>
      </c>
      <c r="Q58" s="773" t="str">
        <f t="shared" si="62"/>
        <v>A</v>
      </c>
      <c r="R58" s="773" t="str">
        <f t="shared" si="62"/>
        <v>N</v>
      </c>
      <c r="S58" s="773" t="str">
        <f t="shared" si="62"/>
        <v>N</v>
      </c>
      <c r="T58" s="773" t="str">
        <f t="shared" si="62"/>
        <v>A</v>
      </c>
      <c r="U58" s="773" t="str">
        <f t="shared" si="62"/>
        <v>A</v>
      </c>
      <c r="V58" s="773" t="str">
        <f t="shared" si="62"/>
        <v>A</v>
      </c>
      <c r="W58" s="773" t="str">
        <f t="shared" si="62"/>
        <v>A</v>
      </c>
      <c r="X58" s="773" t="str">
        <f t="shared" si="62"/>
        <v>A</v>
      </c>
      <c r="Y58" s="773" t="str">
        <f t="shared" si="62"/>
        <v>N</v>
      </c>
      <c r="Z58" s="773" t="str">
        <f t="shared" si="62"/>
        <v>A</v>
      </c>
      <c r="AA58" s="773" t="str">
        <f t="shared" si="62"/>
        <v>A</v>
      </c>
      <c r="AB58" s="773" t="str">
        <f t="shared" si="62"/>
        <v>N</v>
      </c>
      <c r="AC58" s="773" t="str">
        <f t="shared" si="62"/>
        <v>N</v>
      </c>
      <c r="AD58" s="876"/>
      <c r="AE58" s="863"/>
      <c r="AF58" s="870"/>
      <c r="AG58" s="1043"/>
      <c r="AH58" s="802"/>
      <c r="AI58" s="803"/>
    </row>
    <row r="59" spans="1:51" hidden="1" outlineLevel="1" x14ac:dyDescent="0.3">
      <c r="A59" s="159"/>
      <c r="B59" s="1191"/>
      <c r="C59" s="735" t="str">
        <f>'Optimalizačné opatrenia'!$B$12</f>
        <v>Integrácia</v>
      </c>
      <c r="D59" s="788" t="str">
        <f t="shared" si="42"/>
        <v>A</v>
      </c>
      <c r="E59" s="773" t="str">
        <f t="shared" si="42"/>
        <v>N</v>
      </c>
      <c r="F59" s="773" t="str">
        <f t="shared" si="42"/>
        <v>N</v>
      </c>
      <c r="G59" s="773" t="str">
        <f t="shared" si="42"/>
        <v>A</v>
      </c>
      <c r="H59" s="773"/>
      <c r="I59" s="773"/>
      <c r="J59" s="773"/>
      <c r="K59" s="773"/>
      <c r="L59" s="773"/>
      <c r="M59" s="773"/>
      <c r="N59" s="773" t="str">
        <f t="shared" ref="N59" si="63">N45</f>
        <v>A</v>
      </c>
      <c r="O59" s="773"/>
      <c r="P59" s="773" t="str">
        <f t="shared" ref="P59:AC59" si="64">P45</f>
        <v>A</v>
      </c>
      <c r="Q59" s="773" t="str">
        <f t="shared" si="64"/>
        <v>A</v>
      </c>
      <c r="R59" s="773" t="str">
        <f t="shared" si="64"/>
        <v>A</v>
      </c>
      <c r="S59" s="773" t="str">
        <f t="shared" si="64"/>
        <v>A</v>
      </c>
      <c r="T59" s="773" t="str">
        <f t="shared" si="64"/>
        <v>A</v>
      </c>
      <c r="U59" s="773" t="str">
        <f t="shared" si="64"/>
        <v>A</v>
      </c>
      <c r="V59" s="773" t="str">
        <f t="shared" si="64"/>
        <v>A</v>
      </c>
      <c r="W59" s="773" t="str">
        <f t="shared" si="64"/>
        <v>A</v>
      </c>
      <c r="X59" s="773" t="str">
        <f t="shared" si="64"/>
        <v>A</v>
      </c>
      <c r="Y59" s="773" t="str">
        <f t="shared" si="64"/>
        <v>A</v>
      </c>
      <c r="Z59" s="773" t="str">
        <f t="shared" si="64"/>
        <v>A</v>
      </c>
      <c r="AA59" s="773" t="str">
        <f t="shared" si="64"/>
        <v>A</v>
      </c>
      <c r="AB59" s="773" t="str">
        <f t="shared" si="64"/>
        <v>A</v>
      </c>
      <c r="AC59" s="773" t="str">
        <f t="shared" si="64"/>
        <v>A</v>
      </c>
      <c r="AD59" s="876"/>
      <c r="AE59" s="863"/>
      <c r="AF59" s="870"/>
      <c r="AG59" s="1043"/>
      <c r="AH59" s="802"/>
      <c r="AI59" s="803"/>
    </row>
    <row r="60" spans="1:51" hidden="1" outlineLevel="1" x14ac:dyDescent="0.3">
      <c r="A60" s="159"/>
      <c r="B60" s="1191"/>
      <c r="C60" s="740" t="str">
        <f>'Optimalizačné opatrenia'!$B$13</f>
        <v>Proaktivita</v>
      </c>
      <c r="D60" s="788" t="str">
        <f t="shared" si="42"/>
        <v>N</v>
      </c>
      <c r="E60" s="773" t="str">
        <f t="shared" si="42"/>
        <v>N</v>
      </c>
      <c r="F60" s="773" t="str">
        <f t="shared" si="42"/>
        <v>N</v>
      </c>
      <c r="G60" s="773" t="str">
        <f t="shared" si="42"/>
        <v>N</v>
      </c>
      <c r="H60" s="773"/>
      <c r="I60" s="773"/>
      <c r="J60" s="773"/>
      <c r="K60" s="773"/>
      <c r="L60" s="773"/>
      <c r="M60" s="773"/>
      <c r="N60" s="773" t="str">
        <f t="shared" ref="N60" si="65">N46</f>
        <v>N</v>
      </c>
      <c r="O60" s="773"/>
      <c r="P60" s="773" t="str">
        <f t="shared" ref="P60:AC60" si="66">P46</f>
        <v>N</v>
      </c>
      <c r="Q60" s="773" t="str">
        <f t="shared" si="66"/>
        <v>N</v>
      </c>
      <c r="R60" s="773" t="str">
        <f t="shared" si="66"/>
        <v>A</v>
      </c>
      <c r="S60" s="773" t="str">
        <f t="shared" si="66"/>
        <v>A</v>
      </c>
      <c r="T60" s="773" t="str">
        <f t="shared" si="66"/>
        <v>A</v>
      </c>
      <c r="U60" s="773" t="str">
        <f t="shared" si="66"/>
        <v>N</v>
      </c>
      <c r="V60" s="773" t="str">
        <f t="shared" si="66"/>
        <v>A</v>
      </c>
      <c r="W60" s="773" t="str">
        <f t="shared" si="66"/>
        <v>N</v>
      </c>
      <c r="X60" s="773" t="str">
        <f t="shared" si="66"/>
        <v>N</v>
      </c>
      <c r="Y60" s="773" t="str">
        <f t="shared" si="66"/>
        <v>A</v>
      </c>
      <c r="Z60" s="773" t="str">
        <f t="shared" si="66"/>
        <v>A</v>
      </c>
      <c r="AA60" s="773" t="str">
        <f t="shared" si="66"/>
        <v>A</v>
      </c>
      <c r="AB60" s="773" t="str">
        <f t="shared" si="66"/>
        <v>A</v>
      </c>
      <c r="AC60" s="773" t="str">
        <f t="shared" si="66"/>
        <v>A</v>
      </c>
      <c r="AD60" s="876"/>
      <c r="AE60" s="863"/>
      <c r="AF60" s="870"/>
      <c r="AG60" s="1043"/>
      <c r="AH60" s="802"/>
      <c r="AI60" s="803"/>
    </row>
    <row r="61" spans="1:51" hidden="1" outlineLevel="1" x14ac:dyDescent="0.3">
      <c r="A61" s="159"/>
      <c r="B61" s="790"/>
      <c r="C61" s="792" t="s">
        <v>550</v>
      </c>
      <c r="D61" s="793">
        <f t="shared" si="42"/>
        <v>0.3</v>
      </c>
      <c r="E61" s="791">
        <f t="shared" si="42"/>
        <v>0</v>
      </c>
      <c r="F61" s="794">
        <f t="shared" si="42"/>
        <v>0</v>
      </c>
      <c r="G61" s="794">
        <f t="shared" si="42"/>
        <v>0.3</v>
      </c>
      <c r="H61" s="794"/>
      <c r="I61" s="794"/>
      <c r="J61" s="794"/>
      <c r="K61" s="794"/>
      <c r="L61" s="794"/>
      <c r="M61" s="794"/>
      <c r="N61" s="794">
        <f t="shared" ref="N61" si="67">N47</f>
        <v>0.3</v>
      </c>
      <c r="O61" s="794"/>
      <c r="P61" s="794">
        <f t="shared" ref="P61:AC61" si="68">P47</f>
        <v>0.45</v>
      </c>
      <c r="Q61" s="794">
        <f t="shared" si="68"/>
        <v>0.3</v>
      </c>
      <c r="R61" s="794">
        <f t="shared" si="68"/>
        <v>0.25</v>
      </c>
      <c r="S61" s="794">
        <f t="shared" si="68"/>
        <v>0.25</v>
      </c>
      <c r="T61" s="794">
        <f t="shared" si="68"/>
        <v>0.4</v>
      </c>
      <c r="U61" s="794">
        <f t="shared" si="68"/>
        <v>0.3</v>
      </c>
      <c r="V61" s="794">
        <f t="shared" si="68"/>
        <v>0.5</v>
      </c>
      <c r="W61" s="794">
        <f t="shared" si="68"/>
        <v>0.3</v>
      </c>
      <c r="X61" s="794">
        <f t="shared" si="68"/>
        <v>0.3</v>
      </c>
      <c r="Y61" s="794">
        <f t="shared" si="68"/>
        <v>0.25</v>
      </c>
      <c r="Z61" s="794">
        <f t="shared" si="68"/>
        <v>0.4</v>
      </c>
      <c r="AA61" s="794">
        <f t="shared" si="68"/>
        <v>0.5</v>
      </c>
      <c r="AB61" s="794">
        <f t="shared" si="68"/>
        <v>0.25</v>
      </c>
      <c r="AC61" s="794">
        <f t="shared" si="68"/>
        <v>0.25</v>
      </c>
      <c r="AD61" s="877"/>
      <c r="AE61" s="864"/>
      <c r="AF61" s="871"/>
      <c r="AG61" s="1044"/>
      <c r="AH61" s="805"/>
      <c r="AI61" s="806"/>
    </row>
    <row r="62" spans="1:51" ht="42.6" customHeight="1" collapsed="1" x14ac:dyDescent="0.3">
      <c r="A62" s="159">
        <f ca="1">OFFSET(A62,-14,0)+1</f>
        <v>5</v>
      </c>
      <c r="B62" s="234" t="str">
        <f ca="1">'Procesy - AS IS'!B18</f>
        <v>Meranie č. 5</v>
      </c>
      <c r="C62" s="718" t="str">
        <f>'Procesy - AS IS'!C18</f>
        <v>VOLKSWAGEN, SLOVAKIA, a.s., Prevencia závažných priemyselných havárií, 5220/2018</v>
      </c>
      <c r="D62" s="796">
        <f>-'Procesy - AS IS'!D20*D75</f>
        <v>0</v>
      </c>
      <c r="E62" s="721">
        <f>-'Procesy - AS IS'!E20*E75</f>
        <v>0</v>
      </c>
      <c r="F62" s="721">
        <f>-'Procesy - AS IS'!F20*F75</f>
        <v>0</v>
      </c>
      <c r="G62" s="721">
        <f>-'Procesy - AS IS'!G20*G75</f>
        <v>-4.2</v>
      </c>
      <c r="H62" s="721" t="s">
        <v>568</v>
      </c>
      <c r="I62" s="721" t="s">
        <v>568</v>
      </c>
      <c r="J62" s="721" t="s">
        <v>568</v>
      </c>
      <c r="K62" s="721" t="s">
        <v>568</v>
      </c>
      <c r="L62" s="721" t="s">
        <v>568</v>
      </c>
      <c r="M62" s="721" t="s">
        <v>568</v>
      </c>
      <c r="N62" s="721">
        <f>-'Procesy - AS IS'!N20*N75</f>
        <v>0</v>
      </c>
      <c r="O62" s="721" t="s">
        <v>572</v>
      </c>
      <c r="P62" s="721">
        <f>-'Procesy - AS IS'!P20*P75</f>
        <v>-1.8</v>
      </c>
      <c r="Q62" s="721">
        <f>-'Procesy - AS IS'!Q20*Q75</f>
        <v>0</v>
      </c>
      <c r="R62" s="721">
        <f>-'Procesy - AS IS'!R20*R75</f>
        <v>-2.9830508474576272</v>
      </c>
      <c r="S62" s="721">
        <f>-'Procesy - AS IS'!S20*S75</f>
        <v>-13.016949152542374</v>
      </c>
      <c r="T62" s="721">
        <f>-'Procesy - AS IS'!T20*T75</f>
        <v>-1.1932203389830509</v>
      </c>
      <c r="U62" s="721">
        <f>-'Procesy - AS IS'!U20*U75</f>
        <v>-1.952542372881356</v>
      </c>
      <c r="V62" s="721">
        <f>-'Procesy - AS IS'!V20*V75</f>
        <v>-4</v>
      </c>
      <c r="W62" s="721">
        <f>-'Procesy - AS IS'!W20*W75</f>
        <v>-0.22372881355932203</v>
      </c>
      <c r="X62" s="721">
        <f>-'Procesy - AS IS'!X20*X75</f>
        <v>0</v>
      </c>
      <c r="Y62" s="721">
        <f>-'Procesy - AS IS'!Y20*Y75</f>
        <v>-1.7898305084745765</v>
      </c>
      <c r="Z62" s="721">
        <f>-'Procesy - AS IS'!Z20*Z75</f>
        <v>-5.4237288135593226E-2</v>
      </c>
      <c r="AA62" s="721">
        <f>-'Procesy - AS IS'!AA20*AA75</f>
        <v>-3.3898305084745763E-2</v>
      </c>
      <c r="AB62" s="721">
        <f>-'Procesy - AS IS'!AB20*AB75</f>
        <v>-0.20338983050847456</v>
      </c>
      <c r="AC62" s="721">
        <f>-'Procesy - AS IS'!AC20*AC75</f>
        <v>-0.56949152542372883</v>
      </c>
      <c r="AD62" s="824">
        <f>SUM(D62:AC62)</f>
        <v>-32.020338983050848</v>
      </c>
      <c r="AE62" s="798">
        <f>AD62/'Procesy - AS IS'!AD20</f>
        <v>-0.36598217745060052</v>
      </c>
      <c r="AF62" s="869">
        <f>'Procesy - AS IS'!AG20/(1+$AE62)-'Procesy - AS IS'!AG20</f>
        <v>34.057320948423353</v>
      </c>
      <c r="AG62" s="1042">
        <f>'Procesy - AS IS'!AH20/(1+$AE62)-'Procesy - AS IS'!AH20</f>
        <v>6.3496700073331667</v>
      </c>
      <c r="AH62" s="800">
        <f>'Procesy - AS IS'!AI20/(1+$AE62)-'Procesy - AS IS'!AI20</f>
        <v>6.3496700073331667</v>
      </c>
      <c r="AI62" s="801">
        <f>'Procesy - AS IS'!AJ20/(1+$AE62)-'Procesy - AS IS'!AJ20</f>
        <v>1.1544854558787581</v>
      </c>
      <c r="AK62" s="232"/>
      <c r="AY62" s="227"/>
    </row>
    <row r="63" spans="1:51" hidden="1" outlineLevel="1" x14ac:dyDescent="0.3">
      <c r="A63" s="159"/>
      <c r="B63" s="1190" t="s">
        <v>540</v>
      </c>
      <c r="C63" s="735" t="str">
        <f>'Optimalizačné opatrenia'!$B$2</f>
        <v>Modernizácia</v>
      </c>
      <c r="D63" s="788" t="str">
        <f t="shared" ref="D63:G75" si="69">D21</f>
        <v>N</v>
      </c>
      <c r="E63" s="773" t="str">
        <f t="shared" si="69"/>
        <v>N</v>
      </c>
      <c r="F63" s="773" t="str">
        <f t="shared" si="69"/>
        <v>N</v>
      </c>
      <c r="G63" s="773" t="str">
        <f t="shared" si="69"/>
        <v>A</v>
      </c>
      <c r="H63" s="773"/>
      <c r="I63" s="773"/>
      <c r="J63" s="773"/>
      <c r="K63" s="773"/>
      <c r="L63" s="773"/>
      <c r="M63" s="773"/>
      <c r="N63" s="773" t="str">
        <f t="shared" ref="N63:P75" si="70">N21</f>
        <v>N</v>
      </c>
      <c r="O63" s="773"/>
      <c r="P63" s="773" t="str">
        <f t="shared" si="70"/>
        <v>A</v>
      </c>
      <c r="Q63" s="773" t="str">
        <f t="shared" ref="Q63:AC75" si="71">Q21</f>
        <v>A</v>
      </c>
      <c r="R63" s="773" t="str">
        <f t="shared" si="71"/>
        <v>A</v>
      </c>
      <c r="S63" s="773" t="str">
        <f t="shared" si="71"/>
        <v>A</v>
      </c>
      <c r="T63" s="773" t="str">
        <f t="shared" si="71"/>
        <v>A</v>
      </c>
      <c r="U63" s="773" t="str">
        <f t="shared" si="71"/>
        <v>A</v>
      </c>
      <c r="V63" s="773" t="str">
        <f t="shared" si="71"/>
        <v>A</v>
      </c>
      <c r="W63" s="773" t="str">
        <f t="shared" si="71"/>
        <v>A</v>
      </c>
      <c r="X63" s="773" t="str">
        <f t="shared" si="71"/>
        <v>A</v>
      </c>
      <c r="Y63" s="773" t="str">
        <f t="shared" si="71"/>
        <v>A</v>
      </c>
      <c r="Z63" s="773" t="str">
        <f t="shared" si="71"/>
        <v>A</v>
      </c>
      <c r="AA63" s="773" t="str">
        <f t="shared" si="71"/>
        <v>A</v>
      </c>
      <c r="AB63" s="773" t="str">
        <f t="shared" si="71"/>
        <v>A</v>
      </c>
      <c r="AC63" s="773" t="str">
        <f t="shared" si="71"/>
        <v>A</v>
      </c>
      <c r="AD63" s="876"/>
      <c r="AE63" s="863"/>
      <c r="AF63" s="870"/>
      <c r="AG63" s="1043"/>
      <c r="AH63" s="802"/>
      <c r="AI63" s="803"/>
    </row>
    <row r="64" spans="1:51" hidden="1" outlineLevel="1" x14ac:dyDescent="0.3">
      <c r="A64" s="159"/>
      <c r="B64" s="1191"/>
      <c r="C64" s="735" t="str">
        <f>'Optimalizačné opatrenia'!$B$3</f>
        <v>Sfunkčnenie</v>
      </c>
      <c r="D64" s="788" t="str">
        <f t="shared" si="69"/>
        <v>N</v>
      </c>
      <c r="E64" s="773" t="str">
        <f t="shared" si="69"/>
        <v>N</v>
      </c>
      <c r="F64" s="773" t="str">
        <f t="shared" si="69"/>
        <v>N</v>
      </c>
      <c r="G64" s="773" t="str">
        <f t="shared" si="69"/>
        <v>N</v>
      </c>
      <c r="H64" s="773"/>
      <c r="I64" s="773"/>
      <c r="J64" s="773"/>
      <c r="K64" s="773"/>
      <c r="L64" s="773"/>
      <c r="M64" s="773"/>
      <c r="N64" s="773" t="str">
        <f t="shared" si="70"/>
        <v>N</v>
      </c>
      <c r="O64" s="773"/>
      <c r="P64" s="773" t="str">
        <f t="shared" si="70"/>
        <v>N</v>
      </c>
      <c r="Q64" s="773" t="str">
        <f t="shared" si="71"/>
        <v>N</v>
      </c>
      <c r="R64" s="773" t="str">
        <f t="shared" si="71"/>
        <v>N</v>
      </c>
      <c r="S64" s="773" t="str">
        <f t="shared" si="71"/>
        <v>N</v>
      </c>
      <c r="T64" s="773" t="str">
        <f t="shared" si="71"/>
        <v>N</v>
      </c>
      <c r="U64" s="773" t="str">
        <f t="shared" si="71"/>
        <v>N</v>
      </c>
      <c r="V64" s="773" t="str">
        <f t="shared" si="71"/>
        <v>N</v>
      </c>
      <c r="W64" s="773" t="str">
        <f t="shared" si="71"/>
        <v>N</v>
      </c>
      <c r="X64" s="773" t="str">
        <f t="shared" si="71"/>
        <v>N</v>
      </c>
      <c r="Y64" s="773" t="str">
        <f t="shared" si="71"/>
        <v>N</v>
      </c>
      <c r="Z64" s="773" t="str">
        <f t="shared" si="71"/>
        <v>N</v>
      </c>
      <c r="AA64" s="773" t="str">
        <f t="shared" si="71"/>
        <v>N</v>
      </c>
      <c r="AB64" s="773" t="str">
        <f t="shared" si="71"/>
        <v>N</v>
      </c>
      <c r="AC64" s="773" t="str">
        <f t="shared" si="71"/>
        <v>N</v>
      </c>
      <c r="AD64" s="876"/>
      <c r="AE64" s="863"/>
      <c r="AF64" s="870"/>
      <c r="AG64" s="1043"/>
      <c r="AH64" s="802"/>
      <c r="AI64" s="803"/>
    </row>
    <row r="65" spans="1:51" hidden="1" outlineLevel="1" x14ac:dyDescent="0.3">
      <c r="A65" s="159"/>
      <c r="B65" s="1191"/>
      <c r="C65" s="735" t="str">
        <f>'Optimalizačné opatrenia'!$B$4</f>
        <v>Zjednotenie</v>
      </c>
      <c r="D65" s="788" t="str">
        <f t="shared" si="69"/>
        <v>N</v>
      </c>
      <c r="E65" s="773" t="str">
        <f t="shared" si="69"/>
        <v>N</v>
      </c>
      <c r="F65" s="773" t="str">
        <f t="shared" si="69"/>
        <v>N</v>
      </c>
      <c r="G65" s="773" t="str">
        <f t="shared" si="69"/>
        <v>A</v>
      </c>
      <c r="H65" s="773"/>
      <c r="I65" s="773"/>
      <c r="J65" s="773"/>
      <c r="K65" s="773"/>
      <c r="L65" s="773"/>
      <c r="M65" s="773"/>
      <c r="N65" s="773" t="str">
        <f t="shared" si="70"/>
        <v>N</v>
      </c>
      <c r="O65" s="773"/>
      <c r="P65" s="773" t="str">
        <f t="shared" si="70"/>
        <v>A</v>
      </c>
      <c r="Q65" s="773" t="str">
        <f t="shared" si="71"/>
        <v>A</v>
      </c>
      <c r="R65" s="773" t="str">
        <f t="shared" si="71"/>
        <v>A</v>
      </c>
      <c r="S65" s="773" t="str">
        <f t="shared" si="71"/>
        <v>A</v>
      </c>
      <c r="T65" s="773" t="str">
        <f t="shared" si="71"/>
        <v>A</v>
      </c>
      <c r="U65" s="773" t="str">
        <f t="shared" si="71"/>
        <v>A</v>
      </c>
      <c r="V65" s="773" t="str">
        <f t="shared" si="71"/>
        <v>A</v>
      </c>
      <c r="W65" s="773" t="str">
        <f t="shared" si="71"/>
        <v>A</v>
      </c>
      <c r="X65" s="773" t="str">
        <f t="shared" si="71"/>
        <v>A</v>
      </c>
      <c r="Y65" s="773" t="str">
        <f t="shared" si="71"/>
        <v>A</v>
      </c>
      <c r="Z65" s="773" t="str">
        <f t="shared" si="71"/>
        <v>A</v>
      </c>
      <c r="AA65" s="773" t="str">
        <f t="shared" si="71"/>
        <v>A</v>
      </c>
      <c r="AB65" s="773" t="str">
        <f t="shared" si="71"/>
        <v>A</v>
      </c>
      <c r="AC65" s="773" t="str">
        <f t="shared" si="71"/>
        <v>A</v>
      </c>
      <c r="AD65" s="876"/>
      <c r="AE65" s="863"/>
      <c r="AF65" s="870"/>
      <c r="AG65" s="1043"/>
      <c r="AH65" s="802"/>
      <c r="AI65" s="803"/>
    </row>
    <row r="66" spans="1:51" hidden="1" outlineLevel="1" x14ac:dyDescent="0.3">
      <c r="A66" s="159"/>
      <c r="B66" s="1191"/>
      <c r="C66" s="735" t="str">
        <f>'Optimalizačné opatrenia'!$B$5</f>
        <v>Centralizácia</v>
      </c>
      <c r="D66" s="788" t="str">
        <f t="shared" si="69"/>
        <v>N</v>
      </c>
      <c r="E66" s="773" t="str">
        <f t="shared" si="69"/>
        <v>N</v>
      </c>
      <c r="F66" s="773" t="str">
        <f t="shared" si="69"/>
        <v>N</v>
      </c>
      <c r="G66" s="773" t="str">
        <f t="shared" si="69"/>
        <v>A</v>
      </c>
      <c r="H66" s="773"/>
      <c r="I66" s="773"/>
      <c r="J66" s="773"/>
      <c r="K66" s="773"/>
      <c r="L66" s="773"/>
      <c r="M66" s="773"/>
      <c r="N66" s="773" t="str">
        <f t="shared" si="70"/>
        <v>N</v>
      </c>
      <c r="O66" s="773"/>
      <c r="P66" s="773" t="str">
        <f t="shared" si="70"/>
        <v>A</v>
      </c>
      <c r="Q66" s="773" t="str">
        <f t="shared" si="71"/>
        <v>A</v>
      </c>
      <c r="R66" s="773" t="str">
        <f t="shared" si="71"/>
        <v>A</v>
      </c>
      <c r="S66" s="773" t="str">
        <f t="shared" si="71"/>
        <v>A</v>
      </c>
      <c r="T66" s="773" t="str">
        <f t="shared" si="71"/>
        <v>A</v>
      </c>
      <c r="U66" s="773" t="str">
        <f t="shared" si="71"/>
        <v>A</v>
      </c>
      <c r="V66" s="773" t="str">
        <f t="shared" si="71"/>
        <v>A</v>
      </c>
      <c r="W66" s="773" t="str">
        <f t="shared" si="71"/>
        <v>A</v>
      </c>
      <c r="X66" s="773" t="str">
        <f t="shared" si="71"/>
        <v>A</v>
      </c>
      <c r="Y66" s="773" t="str">
        <f t="shared" si="71"/>
        <v>A</v>
      </c>
      <c r="Z66" s="773" t="str">
        <f t="shared" si="71"/>
        <v>A</v>
      </c>
      <c r="AA66" s="773" t="str">
        <f t="shared" si="71"/>
        <v>A</v>
      </c>
      <c r="AB66" s="773" t="str">
        <f t="shared" si="71"/>
        <v>A</v>
      </c>
      <c r="AC66" s="773" t="str">
        <f t="shared" si="71"/>
        <v>A</v>
      </c>
      <c r="AD66" s="876"/>
      <c r="AE66" s="863"/>
      <c r="AF66" s="870"/>
      <c r="AG66" s="1043"/>
      <c r="AH66" s="802"/>
      <c r="AI66" s="803"/>
    </row>
    <row r="67" spans="1:51" hidden="1" outlineLevel="1" x14ac:dyDescent="0.3">
      <c r="A67" s="159"/>
      <c r="B67" s="1191"/>
      <c r="C67" s="735" t="str">
        <f>'Optimalizačné opatrenia'!$B$6</f>
        <v>Elektronizácia</v>
      </c>
      <c r="D67" s="788" t="str">
        <f t="shared" si="69"/>
        <v>N</v>
      </c>
      <c r="E67" s="773" t="str">
        <f t="shared" si="69"/>
        <v>N</v>
      </c>
      <c r="F67" s="773" t="str">
        <f t="shared" si="69"/>
        <v>N</v>
      </c>
      <c r="G67" s="773" t="str">
        <f t="shared" si="69"/>
        <v>A</v>
      </c>
      <c r="H67" s="773"/>
      <c r="I67" s="773"/>
      <c r="J67" s="773"/>
      <c r="K67" s="773"/>
      <c r="L67" s="773"/>
      <c r="M67" s="773"/>
      <c r="N67" s="773" t="str">
        <f t="shared" si="70"/>
        <v>N</v>
      </c>
      <c r="O67" s="773"/>
      <c r="P67" s="773" t="str">
        <f t="shared" si="70"/>
        <v>A</v>
      </c>
      <c r="Q67" s="773" t="str">
        <f t="shared" si="71"/>
        <v>A</v>
      </c>
      <c r="R67" s="773" t="str">
        <f t="shared" si="71"/>
        <v>A</v>
      </c>
      <c r="S67" s="773" t="str">
        <f t="shared" si="71"/>
        <v>A</v>
      </c>
      <c r="T67" s="773" t="str">
        <f t="shared" si="71"/>
        <v>A</v>
      </c>
      <c r="U67" s="773" t="str">
        <f t="shared" si="71"/>
        <v>A</v>
      </c>
      <c r="V67" s="773" t="str">
        <f t="shared" si="71"/>
        <v>A</v>
      </c>
      <c r="W67" s="773" t="str">
        <f t="shared" si="71"/>
        <v>A</v>
      </c>
      <c r="X67" s="773" t="str">
        <f t="shared" si="71"/>
        <v>A</v>
      </c>
      <c r="Y67" s="773" t="str">
        <f t="shared" si="71"/>
        <v>A</v>
      </c>
      <c r="Z67" s="773" t="str">
        <f t="shared" si="71"/>
        <v>A</v>
      </c>
      <c r="AA67" s="773" t="str">
        <f t="shared" si="71"/>
        <v>A</v>
      </c>
      <c r="AB67" s="773" t="str">
        <f t="shared" si="71"/>
        <v>A</v>
      </c>
      <c r="AC67" s="773" t="str">
        <f t="shared" si="71"/>
        <v>A</v>
      </c>
      <c r="AD67" s="876"/>
      <c r="AE67" s="863"/>
      <c r="AF67" s="870"/>
      <c r="AG67" s="1043"/>
      <c r="AH67" s="802"/>
      <c r="AI67" s="803"/>
    </row>
    <row r="68" spans="1:51" hidden="1" outlineLevel="1" x14ac:dyDescent="0.3">
      <c r="A68" s="159"/>
      <c r="B68" s="1191"/>
      <c r="C68" s="735" t="str">
        <f>'Optimalizačné opatrenia'!$B$7</f>
        <v>Automatizácia</v>
      </c>
      <c r="D68" s="788" t="str">
        <f t="shared" si="69"/>
        <v>N</v>
      </c>
      <c r="E68" s="773" t="str">
        <f t="shared" si="69"/>
        <v>N</v>
      </c>
      <c r="F68" s="773" t="str">
        <f t="shared" si="69"/>
        <v>N</v>
      </c>
      <c r="G68" s="773" t="str">
        <f t="shared" si="69"/>
        <v>A</v>
      </c>
      <c r="H68" s="773"/>
      <c r="I68" s="773"/>
      <c r="J68" s="773"/>
      <c r="K68" s="773"/>
      <c r="L68" s="773"/>
      <c r="M68" s="773"/>
      <c r="N68" s="773" t="str">
        <f t="shared" si="70"/>
        <v>N</v>
      </c>
      <c r="O68" s="773"/>
      <c r="P68" s="773" t="str">
        <f t="shared" si="70"/>
        <v>A</v>
      </c>
      <c r="Q68" s="773" t="str">
        <f t="shared" si="71"/>
        <v>A</v>
      </c>
      <c r="R68" s="773" t="str">
        <f t="shared" si="71"/>
        <v>A</v>
      </c>
      <c r="S68" s="773" t="str">
        <f t="shared" si="71"/>
        <v>A</v>
      </c>
      <c r="T68" s="773" t="str">
        <f t="shared" si="71"/>
        <v>A</v>
      </c>
      <c r="U68" s="773" t="str">
        <f t="shared" si="71"/>
        <v>A</v>
      </c>
      <c r="V68" s="773" t="str">
        <f t="shared" si="71"/>
        <v>A</v>
      </c>
      <c r="W68" s="773" t="str">
        <f t="shared" si="71"/>
        <v>A</v>
      </c>
      <c r="X68" s="773" t="str">
        <f t="shared" si="71"/>
        <v>A</v>
      </c>
      <c r="Y68" s="773" t="str">
        <f t="shared" si="71"/>
        <v>A</v>
      </c>
      <c r="Z68" s="773" t="str">
        <f t="shared" si="71"/>
        <v>A</v>
      </c>
      <c r="AA68" s="773" t="str">
        <f t="shared" si="71"/>
        <v>A</v>
      </c>
      <c r="AB68" s="773" t="str">
        <f t="shared" si="71"/>
        <v>A</v>
      </c>
      <c r="AC68" s="773" t="str">
        <f t="shared" si="71"/>
        <v>A</v>
      </c>
      <c r="AD68" s="876"/>
      <c r="AE68" s="863"/>
      <c r="AF68" s="870"/>
      <c r="AG68" s="1043"/>
      <c r="AH68" s="802"/>
      <c r="AI68" s="803"/>
    </row>
    <row r="69" spans="1:51" hidden="1" outlineLevel="1" x14ac:dyDescent="0.3">
      <c r="A69" s="159"/>
      <c r="B69" s="1191"/>
      <c r="C69" s="735" t="str">
        <f>'Optimalizačné opatrenia'!$B$8</f>
        <v>Bezpečnosť</v>
      </c>
      <c r="D69" s="788" t="str">
        <f t="shared" si="69"/>
        <v>N</v>
      </c>
      <c r="E69" s="773" t="str">
        <f t="shared" si="69"/>
        <v>N</v>
      </c>
      <c r="F69" s="773" t="str">
        <f t="shared" si="69"/>
        <v>N</v>
      </c>
      <c r="G69" s="773" t="str">
        <f t="shared" si="69"/>
        <v>A</v>
      </c>
      <c r="H69" s="773"/>
      <c r="I69" s="773"/>
      <c r="J69" s="773"/>
      <c r="K69" s="773"/>
      <c r="L69" s="773"/>
      <c r="M69" s="773"/>
      <c r="N69" s="773" t="str">
        <f t="shared" si="70"/>
        <v>N</v>
      </c>
      <c r="O69" s="773"/>
      <c r="P69" s="773" t="str">
        <f t="shared" si="70"/>
        <v>A</v>
      </c>
      <c r="Q69" s="773" t="str">
        <f t="shared" si="71"/>
        <v>A</v>
      </c>
      <c r="R69" s="773" t="str">
        <f t="shared" si="71"/>
        <v>A</v>
      </c>
      <c r="S69" s="773" t="str">
        <f t="shared" si="71"/>
        <v>A</v>
      </c>
      <c r="T69" s="773" t="str">
        <f t="shared" si="71"/>
        <v>A</v>
      </c>
      <c r="U69" s="773" t="str">
        <f t="shared" si="71"/>
        <v>A</v>
      </c>
      <c r="V69" s="773" t="str">
        <f t="shared" si="71"/>
        <v>A</v>
      </c>
      <c r="W69" s="773" t="str">
        <f t="shared" si="71"/>
        <v>A</v>
      </c>
      <c r="X69" s="773" t="str">
        <f t="shared" si="71"/>
        <v>A</v>
      </c>
      <c r="Y69" s="773" t="str">
        <f t="shared" si="71"/>
        <v>A</v>
      </c>
      <c r="Z69" s="773" t="str">
        <f t="shared" si="71"/>
        <v>A</v>
      </c>
      <c r="AA69" s="773" t="str">
        <f t="shared" si="71"/>
        <v>A</v>
      </c>
      <c r="AB69" s="773" t="str">
        <f t="shared" si="71"/>
        <v>A</v>
      </c>
      <c r="AC69" s="773" t="str">
        <f t="shared" si="71"/>
        <v>A</v>
      </c>
      <c r="AD69" s="876"/>
      <c r="AE69" s="863"/>
      <c r="AF69" s="870"/>
      <c r="AG69" s="1043"/>
      <c r="AH69" s="802"/>
      <c r="AI69" s="803"/>
    </row>
    <row r="70" spans="1:51" hidden="1" outlineLevel="1" x14ac:dyDescent="0.3">
      <c r="A70" s="159"/>
      <c r="B70" s="1191"/>
      <c r="C70" s="735" t="str">
        <f>'Optimalizačné opatrenia'!$B$9</f>
        <v>Auditovateľnosť</v>
      </c>
      <c r="D70" s="788" t="str">
        <f t="shared" si="69"/>
        <v>N</v>
      </c>
      <c r="E70" s="773" t="str">
        <f t="shared" si="69"/>
        <v>N</v>
      </c>
      <c r="F70" s="773" t="str">
        <f t="shared" si="69"/>
        <v>N</v>
      </c>
      <c r="G70" s="773" t="str">
        <f t="shared" si="69"/>
        <v>A</v>
      </c>
      <c r="H70" s="773"/>
      <c r="I70" s="773"/>
      <c r="J70" s="773"/>
      <c r="K70" s="773"/>
      <c r="L70" s="773"/>
      <c r="M70" s="773"/>
      <c r="N70" s="773" t="str">
        <f t="shared" si="70"/>
        <v>N</v>
      </c>
      <c r="O70" s="773"/>
      <c r="P70" s="773" t="str">
        <f t="shared" si="70"/>
        <v>A</v>
      </c>
      <c r="Q70" s="773" t="str">
        <f t="shared" si="71"/>
        <v>A</v>
      </c>
      <c r="R70" s="773" t="str">
        <f t="shared" si="71"/>
        <v>A</v>
      </c>
      <c r="S70" s="773" t="str">
        <f t="shared" si="71"/>
        <v>A</v>
      </c>
      <c r="T70" s="773" t="str">
        <f t="shared" si="71"/>
        <v>A</v>
      </c>
      <c r="U70" s="773" t="str">
        <f t="shared" si="71"/>
        <v>A</v>
      </c>
      <c r="V70" s="773" t="str">
        <f t="shared" si="71"/>
        <v>A</v>
      </c>
      <c r="W70" s="773" t="str">
        <f t="shared" si="71"/>
        <v>A</v>
      </c>
      <c r="X70" s="773" t="str">
        <f t="shared" si="71"/>
        <v>A</v>
      </c>
      <c r="Y70" s="773" t="str">
        <f t="shared" si="71"/>
        <v>A</v>
      </c>
      <c r="Z70" s="773" t="str">
        <f t="shared" si="71"/>
        <v>A</v>
      </c>
      <c r="AA70" s="773" t="str">
        <f t="shared" si="71"/>
        <v>A</v>
      </c>
      <c r="AB70" s="773" t="str">
        <f t="shared" si="71"/>
        <v>A</v>
      </c>
      <c r="AC70" s="773" t="str">
        <f t="shared" si="71"/>
        <v>A</v>
      </c>
      <c r="AD70" s="876"/>
      <c r="AE70" s="863"/>
      <c r="AF70" s="870"/>
      <c r="AG70" s="1043"/>
      <c r="AH70" s="802"/>
      <c r="AI70" s="803"/>
    </row>
    <row r="71" spans="1:51" hidden="1" outlineLevel="1" x14ac:dyDescent="0.3">
      <c r="A71" s="159"/>
      <c r="B71" s="1191"/>
      <c r="C71" s="735" t="str">
        <f>'Optimalizačné opatrenia'!$B$10</f>
        <v>Transparentnosť</v>
      </c>
      <c r="D71" s="788" t="str">
        <f t="shared" si="69"/>
        <v>N</v>
      </c>
      <c r="E71" s="773" t="str">
        <f t="shared" si="69"/>
        <v>N</v>
      </c>
      <c r="F71" s="773" t="str">
        <f t="shared" si="69"/>
        <v>N</v>
      </c>
      <c r="G71" s="773" t="str">
        <f t="shared" si="69"/>
        <v>N</v>
      </c>
      <c r="H71" s="773"/>
      <c r="I71" s="773"/>
      <c r="J71" s="773"/>
      <c r="K71" s="773"/>
      <c r="L71" s="773"/>
      <c r="M71" s="773"/>
      <c r="N71" s="773" t="str">
        <f t="shared" si="70"/>
        <v>N</v>
      </c>
      <c r="O71" s="773"/>
      <c r="P71" s="773" t="str">
        <f t="shared" si="70"/>
        <v>A</v>
      </c>
      <c r="Q71" s="773" t="str">
        <f t="shared" si="71"/>
        <v>N</v>
      </c>
      <c r="R71" s="773" t="str">
        <f t="shared" si="71"/>
        <v>N</v>
      </c>
      <c r="S71" s="773" t="str">
        <f t="shared" si="71"/>
        <v>N</v>
      </c>
      <c r="T71" s="773" t="str">
        <f t="shared" si="71"/>
        <v>N</v>
      </c>
      <c r="U71" s="773" t="str">
        <f t="shared" si="71"/>
        <v>N</v>
      </c>
      <c r="V71" s="773" t="str">
        <f t="shared" si="71"/>
        <v>A</v>
      </c>
      <c r="W71" s="773" t="str">
        <f t="shared" si="71"/>
        <v>N</v>
      </c>
      <c r="X71" s="773" t="str">
        <f t="shared" si="71"/>
        <v>N</v>
      </c>
      <c r="Y71" s="773" t="str">
        <f t="shared" si="71"/>
        <v>N</v>
      </c>
      <c r="Z71" s="773" t="str">
        <f t="shared" si="71"/>
        <v>N</v>
      </c>
      <c r="AA71" s="773" t="str">
        <f t="shared" si="71"/>
        <v>A</v>
      </c>
      <c r="AB71" s="773" t="str">
        <f t="shared" si="71"/>
        <v>N</v>
      </c>
      <c r="AC71" s="773" t="str">
        <f t="shared" si="71"/>
        <v>N</v>
      </c>
      <c r="AD71" s="876"/>
      <c r="AE71" s="863"/>
      <c r="AF71" s="870"/>
      <c r="AG71" s="1043"/>
      <c r="AH71" s="802"/>
      <c r="AI71" s="803"/>
    </row>
    <row r="72" spans="1:51" hidden="1" outlineLevel="1" x14ac:dyDescent="0.3">
      <c r="A72" s="159"/>
      <c r="B72" s="1191"/>
      <c r="C72" s="735" t="str">
        <f>'Optimalizačné opatrenia'!$B$11</f>
        <v>Analyzovatelnosť</v>
      </c>
      <c r="D72" s="788" t="str">
        <f t="shared" si="69"/>
        <v>N</v>
      </c>
      <c r="E72" s="773" t="str">
        <f t="shared" si="69"/>
        <v>N</v>
      </c>
      <c r="F72" s="773" t="str">
        <f t="shared" si="69"/>
        <v>N</v>
      </c>
      <c r="G72" s="773" t="str">
        <f t="shared" si="69"/>
        <v>A</v>
      </c>
      <c r="H72" s="773"/>
      <c r="I72" s="773"/>
      <c r="J72" s="773"/>
      <c r="K72" s="773"/>
      <c r="L72" s="773"/>
      <c r="M72" s="773"/>
      <c r="N72" s="773" t="str">
        <f t="shared" si="70"/>
        <v>N</v>
      </c>
      <c r="O72" s="773"/>
      <c r="P72" s="773" t="str">
        <f t="shared" si="70"/>
        <v>A</v>
      </c>
      <c r="Q72" s="773" t="str">
        <f t="shared" si="71"/>
        <v>A</v>
      </c>
      <c r="R72" s="773" t="str">
        <f t="shared" si="71"/>
        <v>A</v>
      </c>
      <c r="S72" s="773" t="str">
        <f t="shared" si="71"/>
        <v>A</v>
      </c>
      <c r="T72" s="773" t="str">
        <f t="shared" si="71"/>
        <v>A</v>
      </c>
      <c r="U72" s="773" t="str">
        <f t="shared" si="71"/>
        <v>A</v>
      </c>
      <c r="V72" s="773" t="str">
        <f t="shared" si="71"/>
        <v>A</v>
      </c>
      <c r="W72" s="773" t="str">
        <f t="shared" si="71"/>
        <v>A</v>
      </c>
      <c r="X72" s="773" t="str">
        <f t="shared" si="71"/>
        <v>A</v>
      </c>
      <c r="Y72" s="773" t="str">
        <f t="shared" si="71"/>
        <v>A</v>
      </c>
      <c r="Z72" s="773" t="str">
        <f t="shared" si="71"/>
        <v>A</v>
      </c>
      <c r="AA72" s="773" t="str">
        <f t="shared" si="71"/>
        <v>A</v>
      </c>
      <c r="AB72" s="773" t="str">
        <f t="shared" si="71"/>
        <v>A</v>
      </c>
      <c r="AC72" s="773" t="str">
        <f t="shared" si="71"/>
        <v>A</v>
      </c>
      <c r="AD72" s="876"/>
      <c r="AE72" s="863"/>
      <c r="AF72" s="870"/>
      <c r="AG72" s="1043"/>
      <c r="AH72" s="802"/>
      <c r="AI72" s="803"/>
    </row>
    <row r="73" spans="1:51" hidden="1" outlineLevel="1" x14ac:dyDescent="0.3">
      <c r="A73" s="159"/>
      <c r="B73" s="1191"/>
      <c r="C73" s="735" t="str">
        <f>'Optimalizačné opatrenia'!$B$12</f>
        <v>Integrácia</v>
      </c>
      <c r="D73" s="788" t="str">
        <f t="shared" si="69"/>
        <v>N</v>
      </c>
      <c r="E73" s="773" t="str">
        <f t="shared" si="69"/>
        <v>N</v>
      </c>
      <c r="F73" s="773" t="str">
        <f t="shared" si="69"/>
        <v>N</v>
      </c>
      <c r="G73" s="773" t="str">
        <f t="shared" si="69"/>
        <v>A</v>
      </c>
      <c r="H73" s="773"/>
      <c r="I73" s="773"/>
      <c r="J73" s="773"/>
      <c r="K73" s="773"/>
      <c r="L73" s="773"/>
      <c r="M73" s="773"/>
      <c r="N73" s="773" t="str">
        <f t="shared" si="70"/>
        <v>N</v>
      </c>
      <c r="O73" s="773"/>
      <c r="P73" s="773" t="str">
        <f t="shared" si="70"/>
        <v>A</v>
      </c>
      <c r="Q73" s="773" t="str">
        <f t="shared" si="71"/>
        <v>A</v>
      </c>
      <c r="R73" s="773" t="str">
        <f t="shared" si="71"/>
        <v>A</v>
      </c>
      <c r="S73" s="773" t="str">
        <f t="shared" si="71"/>
        <v>A</v>
      </c>
      <c r="T73" s="773" t="str">
        <f t="shared" si="71"/>
        <v>A</v>
      </c>
      <c r="U73" s="773" t="str">
        <f t="shared" si="71"/>
        <v>A</v>
      </c>
      <c r="V73" s="773" t="str">
        <f t="shared" si="71"/>
        <v>A</v>
      </c>
      <c r="W73" s="773" t="str">
        <f t="shared" si="71"/>
        <v>A</v>
      </c>
      <c r="X73" s="773" t="str">
        <f t="shared" si="71"/>
        <v>A</v>
      </c>
      <c r="Y73" s="773" t="str">
        <f t="shared" si="71"/>
        <v>A</v>
      </c>
      <c r="Z73" s="773" t="str">
        <f t="shared" si="71"/>
        <v>A</v>
      </c>
      <c r="AA73" s="773" t="str">
        <f t="shared" si="71"/>
        <v>A</v>
      </c>
      <c r="AB73" s="773" t="str">
        <f t="shared" si="71"/>
        <v>A</v>
      </c>
      <c r="AC73" s="773" t="str">
        <f t="shared" si="71"/>
        <v>A</v>
      </c>
      <c r="AD73" s="876"/>
      <c r="AE73" s="863"/>
      <c r="AF73" s="870"/>
      <c r="AG73" s="1043"/>
      <c r="AH73" s="802"/>
      <c r="AI73" s="803"/>
    </row>
    <row r="74" spans="1:51" hidden="1" outlineLevel="1" x14ac:dyDescent="0.3">
      <c r="A74" s="159"/>
      <c r="B74" s="1191"/>
      <c r="C74" s="740" t="str">
        <f>'Optimalizačné opatrenia'!$B$13</f>
        <v>Proaktivita</v>
      </c>
      <c r="D74" s="788" t="str">
        <f t="shared" si="69"/>
        <v>N</v>
      </c>
      <c r="E74" s="773" t="str">
        <f t="shared" si="69"/>
        <v>N</v>
      </c>
      <c r="F74" s="773" t="str">
        <f t="shared" si="69"/>
        <v>N</v>
      </c>
      <c r="G74" s="773" t="str">
        <f t="shared" si="69"/>
        <v>N</v>
      </c>
      <c r="H74" s="773"/>
      <c r="I74" s="773"/>
      <c r="J74" s="773"/>
      <c r="K74" s="773"/>
      <c r="L74" s="773"/>
      <c r="M74" s="773"/>
      <c r="N74" s="773" t="str">
        <f t="shared" si="70"/>
        <v>N</v>
      </c>
      <c r="O74" s="773"/>
      <c r="P74" s="773" t="str">
        <f t="shared" si="70"/>
        <v>N</v>
      </c>
      <c r="Q74" s="773" t="str">
        <f t="shared" si="71"/>
        <v>N</v>
      </c>
      <c r="R74" s="773" t="str">
        <f t="shared" si="71"/>
        <v>A</v>
      </c>
      <c r="S74" s="773" t="str">
        <f t="shared" si="71"/>
        <v>A</v>
      </c>
      <c r="T74" s="773" t="str">
        <f t="shared" si="71"/>
        <v>A</v>
      </c>
      <c r="U74" s="773" t="str">
        <f t="shared" si="71"/>
        <v>N</v>
      </c>
      <c r="V74" s="773" t="str">
        <f t="shared" si="71"/>
        <v>A</v>
      </c>
      <c r="W74" s="773" t="str">
        <f t="shared" si="71"/>
        <v>N</v>
      </c>
      <c r="X74" s="773" t="str">
        <f t="shared" si="71"/>
        <v>N</v>
      </c>
      <c r="Y74" s="773" t="str">
        <f t="shared" si="71"/>
        <v>A</v>
      </c>
      <c r="Z74" s="773" t="str">
        <f t="shared" si="71"/>
        <v>A</v>
      </c>
      <c r="AA74" s="773" t="str">
        <f t="shared" si="71"/>
        <v>A</v>
      </c>
      <c r="AB74" s="773" t="str">
        <f t="shared" si="71"/>
        <v>N</v>
      </c>
      <c r="AC74" s="773" t="str">
        <f t="shared" si="71"/>
        <v>N</v>
      </c>
      <c r="AD74" s="876"/>
      <c r="AE74" s="863"/>
      <c r="AF74" s="870"/>
      <c r="AG74" s="1043"/>
      <c r="AH74" s="802"/>
      <c r="AI74" s="803"/>
    </row>
    <row r="75" spans="1:51" hidden="1" outlineLevel="1" x14ac:dyDescent="0.3">
      <c r="A75" s="159"/>
      <c r="B75" s="790"/>
      <c r="C75" s="792" t="s">
        <v>550</v>
      </c>
      <c r="D75" s="793">
        <f t="shared" si="69"/>
        <v>0</v>
      </c>
      <c r="E75" s="791">
        <f t="shared" si="69"/>
        <v>0</v>
      </c>
      <c r="F75" s="794">
        <f t="shared" si="69"/>
        <v>0</v>
      </c>
      <c r="G75" s="794">
        <f t="shared" si="69"/>
        <v>0.3</v>
      </c>
      <c r="H75" s="794"/>
      <c r="I75" s="794"/>
      <c r="J75" s="794"/>
      <c r="K75" s="794"/>
      <c r="L75" s="794"/>
      <c r="M75" s="794"/>
      <c r="N75" s="794">
        <f t="shared" si="70"/>
        <v>0</v>
      </c>
      <c r="O75" s="794"/>
      <c r="P75" s="794">
        <f t="shared" si="70"/>
        <v>0.45</v>
      </c>
      <c r="Q75" s="794">
        <f t="shared" si="71"/>
        <v>0.3</v>
      </c>
      <c r="R75" s="794">
        <f t="shared" si="71"/>
        <v>0.4</v>
      </c>
      <c r="S75" s="794">
        <f t="shared" si="71"/>
        <v>0.4</v>
      </c>
      <c r="T75" s="794">
        <f t="shared" si="71"/>
        <v>0.4</v>
      </c>
      <c r="U75" s="794">
        <f t="shared" si="71"/>
        <v>0.3</v>
      </c>
      <c r="V75" s="794">
        <f t="shared" si="71"/>
        <v>0.5</v>
      </c>
      <c r="W75" s="794">
        <f t="shared" si="71"/>
        <v>0.3</v>
      </c>
      <c r="X75" s="794">
        <f t="shared" si="71"/>
        <v>0.3</v>
      </c>
      <c r="Y75" s="794">
        <f t="shared" si="71"/>
        <v>0.4</v>
      </c>
      <c r="Z75" s="794">
        <f t="shared" si="71"/>
        <v>0.4</v>
      </c>
      <c r="AA75" s="794">
        <f t="shared" si="71"/>
        <v>0.5</v>
      </c>
      <c r="AB75" s="794">
        <f t="shared" si="71"/>
        <v>0.3</v>
      </c>
      <c r="AC75" s="794">
        <f t="shared" si="71"/>
        <v>0.3</v>
      </c>
      <c r="AD75" s="877"/>
      <c r="AE75" s="864"/>
      <c r="AF75" s="871"/>
      <c r="AG75" s="1044"/>
      <c r="AH75" s="805"/>
      <c r="AI75" s="806"/>
    </row>
    <row r="76" spans="1:51" ht="42.6" customHeight="1" collapsed="1" x14ac:dyDescent="0.3">
      <c r="A76" s="159">
        <f ca="1">OFFSET(A76,-14,0)+1</f>
        <v>6</v>
      </c>
      <c r="B76" s="234" t="str">
        <f ca="1">'Procesy - AS IS'!B21</f>
        <v>Meranie č. 6</v>
      </c>
      <c r="C76" s="718" t="str">
        <f>'Procesy - AS IS'!C21</f>
        <v>ADDA spol.s.r.o, Slamkova14, 949 07 Nitra - Janíkovce, Chemický zákon, 7262/2018</v>
      </c>
      <c r="D76" s="796">
        <f>-'Procesy - AS IS'!D23*D89</f>
        <v>0</v>
      </c>
      <c r="E76" s="721">
        <f>-'Procesy - AS IS'!E23*E89</f>
        <v>0</v>
      </c>
      <c r="F76" s="721">
        <f>-'Procesy - AS IS'!F23*F89</f>
        <v>-0.8</v>
      </c>
      <c r="G76" s="721">
        <f>-'Procesy - AS IS'!G23*G89</f>
        <v>-4.8</v>
      </c>
      <c r="H76" s="721" t="s">
        <v>568</v>
      </c>
      <c r="I76" s="721" t="s">
        <v>568</v>
      </c>
      <c r="J76" s="721" t="s">
        <v>568</v>
      </c>
      <c r="K76" s="721" t="s">
        <v>568</v>
      </c>
      <c r="L76" s="721" t="s">
        <v>568</v>
      </c>
      <c r="M76" s="721" t="s">
        <v>568</v>
      </c>
      <c r="N76" s="721">
        <f>-'Procesy - AS IS'!N23*N89</f>
        <v>0</v>
      </c>
      <c r="O76" s="721" t="s">
        <v>572</v>
      </c>
      <c r="P76" s="721">
        <f>-'Procesy - AS IS'!P23*P89</f>
        <v>-1.8</v>
      </c>
      <c r="Q76" s="721">
        <f>-'Procesy - AS IS'!Q23*Q89</f>
        <v>0</v>
      </c>
      <c r="R76" s="721">
        <f>-'Procesy - AS IS'!R23*R89</f>
        <v>0</v>
      </c>
      <c r="S76" s="721">
        <f>-'Procesy - AS IS'!S23*S89</f>
        <v>-16</v>
      </c>
      <c r="T76" s="721">
        <f>-'Procesy - AS IS'!T23*T89</f>
        <v>0</v>
      </c>
      <c r="U76" s="721">
        <f>-'Procesy - AS IS'!U23*U89</f>
        <v>0</v>
      </c>
      <c r="V76" s="721">
        <f>-'Procesy - AS IS'!V23*V89</f>
        <v>-2</v>
      </c>
      <c r="W76" s="721">
        <f>-'Procesy - AS IS'!W23*W89</f>
        <v>0</v>
      </c>
      <c r="X76" s="721">
        <f>-'Procesy - AS IS'!X23*X89</f>
        <v>0</v>
      </c>
      <c r="Y76" s="721">
        <f>-'Procesy - AS IS'!Y23*Y89</f>
        <v>0</v>
      </c>
      <c r="Z76" s="721">
        <f>-'Procesy - AS IS'!Z23*Z89</f>
        <v>0</v>
      </c>
      <c r="AA76" s="721">
        <f>-'Procesy - AS IS'!AA23*AA89</f>
        <v>0</v>
      </c>
      <c r="AB76" s="721">
        <f>-'Procesy - AS IS'!AB23*AB89</f>
        <v>0</v>
      </c>
      <c r="AC76" s="721">
        <f>-'Procesy - AS IS'!AC23*AC89</f>
        <v>0</v>
      </c>
      <c r="AD76" s="824">
        <f>SUM(D76:AC76)</f>
        <v>-25.4</v>
      </c>
      <c r="AE76" s="798">
        <f>AD76/'Procesy - AS IS'!AD23</f>
        <v>-0.38484848484848483</v>
      </c>
      <c r="AF76" s="869">
        <f>'Procesy - AS IS'!AG23/(1+$AE76)-'Procesy - AS IS'!AG23</f>
        <v>2.5024630541871913</v>
      </c>
      <c r="AG76" s="1042">
        <f>'Procesy - AS IS'!AH23/(1+$AE76)-'Procesy - AS IS'!AH23</f>
        <v>0</v>
      </c>
      <c r="AH76" s="800">
        <f>'Procesy - AS IS'!AI23/(1+$AE76)-'Procesy - AS IS'!AI23</f>
        <v>0</v>
      </c>
      <c r="AI76" s="801">
        <f>'Procesy - AS IS'!AJ23/(1+$AE76)-'Procesy - AS IS'!AJ23</f>
        <v>0</v>
      </c>
      <c r="AK76" s="232"/>
      <c r="AY76" s="227"/>
    </row>
    <row r="77" spans="1:51" hidden="1" outlineLevel="1" x14ac:dyDescent="0.3">
      <c r="A77" s="159"/>
      <c r="B77" s="1190" t="s">
        <v>540</v>
      </c>
      <c r="C77" s="735" t="str">
        <f>'Optimalizačné opatrenia'!$B$2</f>
        <v>Modernizácia</v>
      </c>
      <c r="D77" s="741" t="s">
        <v>542</v>
      </c>
      <c r="E77" s="742" t="s">
        <v>542</v>
      </c>
      <c r="F77" s="773" t="str">
        <f t="shared" ref="F77:F89" si="72">R7</f>
        <v>A</v>
      </c>
      <c r="G77" s="773" t="str">
        <f t="shared" ref="G77:G89" si="73">G7</f>
        <v>A</v>
      </c>
      <c r="H77" s="773"/>
      <c r="I77" s="773"/>
      <c r="J77" s="773"/>
      <c r="K77" s="773"/>
      <c r="L77" s="773"/>
      <c r="M77" s="773"/>
      <c r="N77" s="773" t="s">
        <v>542</v>
      </c>
      <c r="O77" s="773"/>
      <c r="P77" s="773" t="str">
        <f t="shared" ref="P77:R89" si="74">P7</f>
        <v>A</v>
      </c>
      <c r="Q77" s="773" t="str">
        <f t="shared" si="74"/>
        <v>A</v>
      </c>
      <c r="R77" s="773" t="str">
        <f t="shared" si="74"/>
        <v>A</v>
      </c>
      <c r="S77" s="773" t="str">
        <f t="shared" ref="S77:S89" si="75">R77</f>
        <v>A</v>
      </c>
      <c r="T77" s="773" t="str">
        <f t="shared" ref="T77:T89" si="76">R77</f>
        <v>A</v>
      </c>
      <c r="U77" s="773" t="str">
        <f t="shared" ref="U77:U89" si="77">G35</f>
        <v>A</v>
      </c>
      <c r="V77" s="773" t="str">
        <f t="shared" ref="V77:V89" si="78">V7</f>
        <v>A</v>
      </c>
      <c r="W77" s="773" t="str">
        <f t="shared" ref="W77:W89" si="79">G77</f>
        <v>A</v>
      </c>
      <c r="X77" s="773" t="str">
        <f t="shared" ref="X77:X89" si="80">G77</f>
        <v>A</v>
      </c>
      <c r="Y77" s="773" t="str">
        <f t="shared" ref="Y77:Y89" si="81">R77</f>
        <v>A</v>
      </c>
      <c r="Z77" s="773" t="str">
        <f t="shared" ref="Z77:Z89" si="82">R77</f>
        <v>A</v>
      </c>
      <c r="AA77" s="773" t="str">
        <f t="shared" ref="AA77:AA89" si="83">$V77</f>
        <v>A</v>
      </c>
      <c r="AB77" s="773" t="str">
        <f t="shared" ref="AB77:AB89" si="84">G77</f>
        <v>A</v>
      </c>
      <c r="AC77" s="773" t="str">
        <f t="shared" ref="AC77:AC89" si="85">R77</f>
        <v>A</v>
      </c>
      <c r="AD77" s="876"/>
      <c r="AE77" s="863"/>
      <c r="AF77" s="870"/>
      <c r="AG77" s="1019"/>
      <c r="AH77" s="802"/>
      <c r="AI77" s="803"/>
    </row>
    <row r="78" spans="1:51" hidden="1" outlineLevel="1" x14ac:dyDescent="0.3">
      <c r="A78" s="159"/>
      <c r="B78" s="1191"/>
      <c r="C78" s="735" t="str">
        <f>'Optimalizačné opatrenia'!$B$3</f>
        <v>Sfunkčnenie</v>
      </c>
      <c r="D78" s="788" t="s">
        <v>542</v>
      </c>
      <c r="E78" s="773" t="s">
        <v>542</v>
      </c>
      <c r="F78" s="773" t="str">
        <f t="shared" si="72"/>
        <v>N</v>
      </c>
      <c r="G78" s="773" t="str">
        <f t="shared" si="73"/>
        <v>N</v>
      </c>
      <c r="H78" s="773"/>
      <c r="I78" s="773"/>
      <c r="J78" s="773"/>
      <c r="K78" s="773"/>
      <c r="L78" s="773"/>
      <c r="M78" s="773"/>
      <c r="N78" s="773" t="s">
        <v>542</v>
      </c>
      <c r="O78" s="773"/>
      <c r="P78" s="773" t="str">
        <f t="shared" si="74"/>
        <v>N</v>
      </c>
      <c r="Q78" s="773" t="str">
        <f t="shared" si="74"/>
        <v>N</v>
      </c>
      <c r="R78" s="773" t="str">
        <f t="shared" si="74"/>
        <v>N</v>
      </c>
      <c r="S78" s="773" t="str">
        <f t="shared" si="75"/>
        <v>N</v>
      </c>
      <c r="T78" s="773" t="str">
        <f t="shared" si="76"/>
        <v>N</v>
      </c>
      <c r="U78" s="773" t="str">
        <f t="shared" si="77"/>
        <v>N</v>
      </c>
      <c r="V78" s="773" t="str">
        <f t="shared" si="78"/>
        <v>N</v>
      </c>
      <c r="W78" s="773" t="str">
        <f t="shared" si="79"/>
        <v>N</v>
      </c>
      <c r="X78" s="773" t="str">
        <f t="shared" si="80"/>
        <v>N</v>
      </c>
      <c r="Y78" s="773" t="str">
        <f t="shared" si="81"/>
        <v>N</v>
      </c>
      <c r="Z78" s="773" t="str">
        <f t="shared" si="82"/>
        <v>N</v>
      </c>
      <c r="AA78" s="773" t="str">
        <f t="shared" si="83"/>
        <v>N</v>
      </c>
      <c r="AB78" s="773" t="str">
        <f t="shared" si="84"/>
        <v>N</v>
      </c>
      <c r="AC78" s="773" t="str">
        <f t="shared" si="85"/>
        <v>N</v>
      </c>
      <c r="AD78" s="876"/>
      <c r="AE78" s="863"/>
      <c r="AF78" s="870"/>
      <c r="AG78" s="1019"/>
      <c r="AH78" s="802"/>
      <c r="AI78" s="803"/>
    </row>
    <row r="79" spans="1:51" hidden="1" outlineLevel="1" x14ac:dyDescent="0.3">
      <c r="A79" s="159"/>
      <c r="B79" s="1191"/>
      <c r="C79" s="735" t="str">
        <f>'Optimalizačné opatrenia'!$B$4</f>
        <v>Zjednotenie</v>
      </c>
      <c r="D79" s="788" t="s">
        <v>542</v>
      </c>
      <c r="E79" s="773" t="s">
        <v>542</v>
      </c>
      <c r="F79" s="773" t="str">
        <f t="shared" si="72"/>
        <v>A</v>
      </c>
      <c r="G79" s="773" t="str">
        <f t="shared" si="73"/>
        <v>A</v>
      </c>
      <c r="H79" s="773"/>
      <c r="I79" s="773"/>
      <c r="J79" s="773"/>
      <c r="K79" s="773"/>
      <c r="L79" s="773"/>
      <c r="M79" s="773"/>
      <c r="N79" s="773" t="s">
        <v>542</v>
      </c>
      <c r="O79" s="773"/>
      <c r="P79" s="773" t="str">
        <f t="shared" si="74"/>
        <v>A</v>
      </c>
      <c r="Q79" s="773" t="str">
        <f t="shared" si="74"/>
        <v>A</v>
      </c>
      <c r="R79" s="773" t="str">
        <f t="shared" si="74"/>
        <v>A</v>
      </c>
      <c r="S79" s="773" t="str">
        <f t="shared" si="75"/>
        <v>A</v>
      </c>
      <c r="T79" s="773" t="str">
        <f t="shared" si="76"/>
        <v>A</v>
      </c>
      <c r="U79" s="773" t="str">
        <f t="shared" si="77"/>
        <v>A</v>
      </c>
      <c r="V79" s="773" t="str">
        <f t="shared" si="78"/>
        <v>A</v>
      </c>
      <c r="W79" s="773" t="str">
        <f t="shared" si="79"/>
        <v>A</v>
      </c>
      <c r="X79" s="773" t="str">
        <f t="shared" si="80"/>
        <v>A</v>
      </c>
      <c r="Y79" s="773" t="str">
        <f t="shared" si="81"/>
        <v>A</v>
      </c>
      <c r="Z79" s="773" t="str">
        <f t="shared" si="82"/>
        <v>A</v>
      </c>
      <c r="AA79" s="773" t="str">
        <f t="shared" si="83"/>
        <v>A</v>
      </c>
      <c r="AB79" s="773" t="str">
        <f t="shared" si="84"/>
        <v>A</v>
      </c>
      <c r="AC79" s="773" t="str">
        <f t="shared" si="85"/>
        <v>A</v>
      </c>
      <c r="AD79" s="876"/>
      <c r="AE79" s="863"/>
      <c r="AF79" s="870"/>
      <c r="AG79" s="1019"/>
      <c r="AH79" s="802"/>
      <c r="AI79" s="803"/>
    </row>
    <row r="80" spans="1:51" hidden="1" outlineLevel="1" x14ac:dyDescent="0.3">
      <c r="A80" s="159"/>
      <c r="B80" s="1191"/>
      <c r="C80" s="735" t="str">
        <f>'Optimalizačné opatrenia'!$B$5</f>
        <v>Centralizácia</v>
      </c>
      <c r="D80" s="788" t="s">
        <v>542</v>
      </c>
      <c r="E80" s="773" t="s">
        <v>542</v>
      </c>
      <c r="F80" s="773" t="str">
        <f t="shared" si="72"/>
        <v>A</v>
      </c>
      <c r="G80" s="773" t="str">
        <f t="shared" si="73"/>
        <v>A</v>
      </c>
      <c r="H80" s="773"/>
      <c r="I80" s="773"/>
      <c r="J80" s="773"/>
      <c r="K80" s="773"/>
      <c r="L80" s="773"/>
      <c r="M80" s="773"/>
      <c r="N80" s="773" t="s">
        <v>542</v>
      </c>
      <c r="O80" s="773"/>
      <c r="P80" s="773" t="str">
        <f t="shared" si="74"/>
        <v>A</v>
      </c>
      <c r="Q80" s="773" t="str">
        <f t="shared" si="74"/>
        <v>A</v>
      </c>
      <c r="R80" s="773" t="str">
        <f t="shared" si="74"/>
        <v>A</v>
      </c>
      <c r="S80" s="773" t="str">
        <f t="shared" si="75"/>
        <v>A</v>
      </c>
      <c r="T80" s="773" t="str">
        <f t="shared" si="76"/>
        <v>A</v>
      </c>
      <c r="U80" s="773" t="str">
        <f t="shared" si="77"/>
        <v>A</v>
      </c>
      <c r="V80" s="773" t="str">
        <f t="shared" si="78"/>
        <v>A</v>
      </c>
      <c r="W80" s="773" t="str">
        <f t="shared" si="79"/>
        <v>A</v>
      </c>
      <c r="X80" s="773" t="str">
        <f t="shared" si="80"/>
        <v>A</v>
      </c>
      <c r="Y80" s="773" t="str">
        <f t="shared" si="81"/>
        <v>A</v>
      </c>
      <c r="Z80" s="773" t="str">
        <f t="shared" si="82"/>
        <v>A</v>
      </c>
      <c r="AA80" s="773" t="str">
        <f t="shared" si="83"/>
        <v>A</v>
      </c>
      <c r="AB80" s="773" t="str">
        <f t="shared" si="84"/>
        <v>A</v>
      </c>
      <c r="AC80" s="773" t="str">
        <f t="shared" si="85"/>
        <v>A</v>
      </c>
      <c r="AD80" s="876"/>
      <c r="AE80" s="863"/>
      <c r="AF80" s="870"/>
      <c r="AG80" s="1019"/>
      <c r="AH80" s="802"/>
      <c r="AI80" s="803"/>
    </row>
    <row r="81" spans="1:51" hidden="1" outlineLevel="1" x14ac:dyDescent="0.3">
      <c r="A81" s="159"/>
      <c r="B81" s="1191"/>
      <c r="C81" s="735" t="str">
        <f>'Optimalizačné opatrenia'!$B$6</f>
        <v>Elektronizácia</v>
      </c>
      <c r="D81" s="788" t="s">
        <v>542</v>
      </c>
      <c r="E81" s="773" t="s">
        <v>542</v>
      </c>
      <c r="F81" s="773" t="str">
        <f t="shared" si="72"/>
        <v>A</v>
      </c>
      <c r="G81" s="773" t="str">
        <f t="shared" si="73"/>
        <v>A</v>
      </c>
      <c r="H81" s="773"/>
      <c r="I81" s="773"/>
      <c r="J81" s="773"/>
      <c r="K81" s="773"/>
      <c r="L81" s="773"/>
      <c r="M81" s="773"/>
      <c r="N81" s="773" t="s">
        <v>542</v>
      </c>
      <c r="O81" s="773"/>
      <c r="P81" s="773" t="str">
        <f t="shared" si="74"/>
        <v>A</v>
      </c>
      <c r="Q81" s="773" t="str">
        <f t="shared" si="74"/>
        <v>A</v>
      </c>
      <c r="R81" s="773" t="str">
        <f t="shared" si="74"/>
        <v>A</v>
      </c>
      <c r="S81" s="773" t="str">
        <f t="shared" si="75"/>
        <v>A</v>
      </c>
      <c r="T81" s="773" t="str">
        <f t="shared" si="76"/>
        <v>A</v>
      </c>
      <c r="U81" s="773" t="str">
        <f t="shared" si="77"/>
        <v>A</v>
      </c>
      <c r="V81" s="773" t="str">
        <f t="shared" si="78"/>
        <v>A</v>
      </c>
      <c r="W81" s="773" t="str">
        <f t="shared" si="79"/>
        <v>A</v>
      </c>
      <c r="X81" s="773" t="str">
        <f t="shared" si="80"/>
        <v>A</v>
      </c>
      <c r="Y81" s="773" t="str">
        <f t="shared" si="81"/>
        <v>A</v>
      </c>
      <c r="Z81" s="773" t="str">
        <f t="shared" si="82"/>
        <v>A</v>
      </c>
      <c r="AA81" s="773" t="str">
        <f t="shared" si="83"/>
        <v>A</v>
      </c>
      <c r="AB81" s="773" t="str">
        <f t="shared" si="84"/>
        <v>A</v>
      </c>
      <c r="AC81" s="773" t="str">
        <f t="shared" si="85"/>
        <v>A</v>
      </c>
      <c r="AD81" s="876"/>
      <c r="AE81" s="863"/>
      <c r="AF81" s="870"/>
      <c r="AG81" s="1019"/>
      <c r="AH81" s="802"/>
      <c r="AI81" s="803"/>
    </row>
    <row r="82" spans="1:51" hidden="1" outlineLevel="1" x14ac:dyDescent="0.3">
      <c r="A82" s="159"/>
      <c r="B82" s="1191"/>
      <c r="C82" s="735" t="str">
        <f>'Optimalizačné opatrenia'!$B$7</f>
        <v>Automatizácia</v>
      </c>
      <c r="D82" s="788" t="s">
        <v>542</v>
      </c>
      <c r="E82" s="773" t="s">
        <v>542</v>
      </c>
      <c r="F82" s="773" t="str">
        <f t="shared" si="72"/>
        <v>A</v>
      </c>
      <c r="G82" s="773" t="str">
        <f t="shared" si="73"/>
        <v>A</v>
      </c>
      <c r="H82" s="773"/>
      <c r="I82" s="773"/>
      <c r="J82" s="773"/>
      <c r="K82" s="773"/>
      <c r="L82" s="773"/>
      <c r="M82" s="773"/>
      <c r="N82" s="773" t="s">
        <v>542</v>
      </c>
      <c r="O82" s="773"/>
      <c r="P82" s="773" t="str">
        <f t="shared" si="74"/>
        <v>A</v>
      </c>
      <c r="Q82" s="773" t="str">
        <f t="shared" si="74"/>
        <v>A</v>
      </c>
      <c r="R82" s="773" t="str">
        <f t="shared" si="74"/>
        <v>A</v>
      </c>
      <c r="S82" s="773" t="str">
        <f t="shared" si="75"/>
        <v>A</v>
      </c>
      <c r="T82" s="773" t="str">
        <f t="shared" si="76"/>
        <v>A</v>
      </c>
      <c r="U82" s="773" t="str">
        <f t="shared" si="77"/>
        <v>A</v>
      </c>
      <c r="V82" s="773" t="str">
        <f t="shared" si="78"/>
        <v>A</v>
      </c>
      <c r="W82" s="773" t="str">
        <f t="shared" si="79"/>
        <v>A</v>
      </c>
      <c r="X82" s="773" t="str">
        <f t="shared" si="80"/>
        <v>A</v>
      </c>
      <c r="Y82" s="773" t="str">
        <f t="shared" si="81"/>
        <v>A</v>
      </c>
      <c r="Z82" s="773" t="str">
        <f t="shared" si="82"/>
        <v>A</v>
      </c>
      <c r="AA82" s="773" t="str">
        <f t="shared" si="83"/>
        <v>A</v>
      </c>
      <c r="AB82" s="773" t="str">
        <f t="shared" si="84"/>
        <v>A</v>
      </c>
      <c r="AC82" s="773" t="str">
        <f t="shared" si="85"/>
        <v>A</v>
      </c>
      <c r="AD82" s="876"/>
      <c r="AE82" s="863"/>
      <c r="AF82" s="870"/>
      <c r="AG82" s="1019"/>
      <c r="AH82" s="802"/>
      <c r="AI82" s="803"/>
    </row>
    <row r="83" spans="1:51" hidden="1" outlineLevel="1" x14ac:dyDescent="0.3">
      <c r="A83" s="159"/>
      <c r="B83" s="1191"/>
      <c r="C83" s="735" t="str">
        <f>'Optimalizačné opatrenia'!$B$8</f>
        <v>Bezpečnosť</v>
      </c>
      <c r="D83" s="788" t="s">
        <v>542</v>
      </c>
      <c r="E83" s="773" t="s">
        <v>542</v>
      </c>
      <c r="F83" s="773" t="str">
        <f t="shared" si="72"/>
        <v>A</v>
      </c>
      <c r="G83" s="773" t="str">
        <f t="shared" si="73"/>
        <v>A</v>
      </c>
      <c r="H83" s="773"/>
      <c r="I83" s="773"/>
      <c r="J83" s="773"/>
      <c r="K83" s="773"/>
      <c r="L83" s="773"/>
      <c r="M83" s="773"/>
      <c r="N83" s="773" t="s">
        <v>542</v>
      </c>
      <c r="O83" s="773"/>
      <c r="P83" s="773" t="str">
        <f t="shared" si="74"/>
        <v>A</v>
      </c>
      <c r="Q83" s="773" t="str">
        <f t="shared" si="74"/>
        <v>A</v>
      </c>
      <c r="R83" s="773" t="str">
        <f t="shared" si="74"/>
        <v>A</v>
      </c>
      <c r="S83" s="773" t="str">
        <f t="shared" si="75"/>
        <v>A</v>
      </c>
      <c r="T83" s="773" t="str">
        <f t="shared" si="76"/>
        <v>A</v>
      </c>
      <c r="U83" s="773" t="str">
        <f t="shared" si="77"/>
        <v>A</v>
      </c>
      <c r="V83" s="773" t="str">
        <f t="shared" si="78"/>
        <v>A</v>
      </c>
      <c r="W83" s="773" t="str">
        <f t="shared" si="79"/>
        <v>A</v>
      </c>
      <c r="X83" s="773" t="str">
        <f t="shared" si="80"/>
        <v>A</v>
      </c>
      <c r="Y83" s="773" t="str">
        <f t="shared" si="81"/>
        <v>A</v>
      </c>
      <c r="Z83" s="773" t="str">
        <f t="shared" si="82"/>
        <v>A</v>
      </c>
      <c r="AA83" s="773" t="str">
        <f t="shared" si="83"/>
        <v>A</v>
      </c>
      <c r="AB83" s="773" t="str">
        <f t="shared" si="84"/>
        <v>A</v>
      </c>
      <c r="AC83" s="773" t="str">
        <f t="shared" si="85"/>
        <v>A</v>
      </c>
      <c r="AD83" s="876"/>
      <c r="AE83" s="863"/>
      <c r="AF83" s="870"/>
      <c r="AG83" s="1019"/>
      <c r="AH83" s="802"/>
      <c r="AI83" s="803"/>
    </row>
    <row r="84" spans="1:51" hidden="1" outlineLevel="1" x14ac:dyDescent="0.3">
      <c r="A84" s="159"/>
      <c r="B84" s="1191"/>
      <c r="C84" s="735" t="str">
        <f>'Optimalizačné opatrenia'!$B$9</f>
        <v>Auditovateľnosť</v>
      </c>
      <c r="D84" s="788" t="s">
        <v>542</v>
      </c>
      <c r="E84" s="773" t="s">
        <v>542</v>
      </c>
      <c r="F84" s="773" t="str">
        <f t="shared" si="72"/>
        <v>A</v>
      </c>
      <c r="G84" s="773" t="str">
        <f t="shared" si="73"/>
        <v>A</v>
      </c>
      <c r="H84" s="773"/>
      <c r="I84" s="773"/>
      <c r="J84" s="773"/>
      <c r="K84" s="773"/>
      <c r="L84" s="773"/>
      <c r="M84" s="773"/>
      <c r="N84" s="773" t="s">
        <v>542</v>
      </c>
      <c r="O84" s="773"/>
      <c r="P84" s="773" t="str">
        <f t="shared" si="74"/>
        <v>A</v>
      </c>
      <c r="Q84" s="773" t="str">
        <f t="shared" si="74"/>
        <v>A</v>
      </c>
      <c r="R84" s="773" t="str">
        <f t="shared" si="74"/>
        <v>A</v>
      </c>
      <c r="S84" s="773" t="str">
        <f t="shared" si="75"/>
        <v>A</v>
      </c>
      <c r="T84" s="773" t="str">
        <f t="shared" si="76"/>
        <v>A</v>
      </c>
      <c r="U84" s="773" t="str">
        <f t="shared" si="77"/>
        <v>A</v>
      </c>
      <c r="V84" s="773" t="str">
        <f t="shared" si="78"/>
        <v>A</v>
      </c>
      <c r="W84" s="773" t="str">
        <f t="shared" si="79"/>
        <v>A</v>
      </c>
      <c r="X84" s="773" t="str">
        <f t="shared" si="80"/>
        <v>A</v>
      </c>
      <c r="Y84" s="773" t="str">
        <f t="shared" si="81"/>
        <v>A</v>
      </c>
      <c r="Z84" s="773" t="str">
        <f t="shared" si="82"/>
        <v>A</v>
      </c>
      <c r="AA84" s="773" t="str">
        <f t="shared" si="83"/>
        <v>A</v>
      </c>
      <c r="AB84" s="773" t="str">
        <f t="shared" si="84"/>
        <v>A</v>
      </c>
      <c r="AC84" s="773" t="str">
        <f t="shared" si="85"/>
        <v>A</v>
      </c>
      <c r="AD84" s="876"/>
      <c r="AE84" s="863"/>
      <c r="AF84" s="870"/>
      <c r="AG84" s="1019"/>
      <c r="AH84" s="802"/>
      <c r="AI84" s="803"/>
    </row>
    <row r="85" spans="1:51" hidden="1" outlineLevel="1" x14ac:dyDescent="0.3">
      <c r="A85" s="159"/>
      <c r="B85" s="1191"/>
      <c r="C85" s="735" t="str">
        <f>'Optimalizačné opatrenia'!$B$10</f>
        <v>Transparentnosť</v>
      </c>
      <c r="D85" s="788" t="s">
        <v>542</v>
      </c>
      <c r="E85" s="773" t="s">
        <v>542</v>
      </c>
      <c r="F85" s="773" t="str">
        <f t="shared" si="72"/>
        <v>N</v>
      </c>
      <c r="G85" s="773" t="str">
        <f t="shared" si="73"/>
        <v>N</v>
      </c>
      <c r="H85" s="773"/>
      <c r="I85" s="773"/>
      <c r="J85" s="773"/>
      <c r="K85" s="773"/>
      <c r="L85" s="773"/>
      <c r="M85" s="773"/>
      <c r="N85" s="773" t="s">
        <v>542</v>
      </c>
      <c r="O85" s="773"/>
      <c r="P85" s="773" t="str">
        <f t="shared" si="74"/>
        <v>A</v>
      </c>
      <c r="Q85" s="773" t="str">
        <f t="shared" si="74"/>
        <v>N</v>
      </c>
      <c r="R85" s="773" t="str">
        <f t="shared" si="74"/>
        <v>N</v>
      </c>
      <c r="S85" s="773" t="str">
        <f t="shared" si="75"/>
        <v>N</v>
      </c>
      <c r="T85" s="773" t="str">
        <f t="shared" si="76"/>
        <v>N</v>
      </c>
      <c r="U85" s="773" t="str">
        <f t="shared" si="77"/>
        <v>N</v>
      </c>
      <c r="V85" s="773" t="str">
        <f t="shared" si="78"/>
        <v>A</v>
      </c>
      <c r="W85" s="773" t="str">
        <f t="shared" si="79"/>
        <v>N</v>
      </c>
      <c r="X85" s="773" t="str">
        <f t="shared" si="80"/>
        <v>N</v>
      </c>
      <c r="Y85" s="773" t="str">
        <f t="shared" si="81"/>
        <v>N</v>
      </c>
      <c r="Z85" s="773" t="str">
        <f t="shared" si="82"/>
        <v>N</v>
      </c>
      <c r="AA85" s="773" t="str">
        <f t="shared" si="83"/>
        <v>A</v>
      </c>
      <c r="AB85" s="773" t="str">
        <f t="shared" si="84"/>
        <v>N</v>
      </c>
      <c r="AC85" s="773" t="str">
        <f t="shared" si="85"/>
        <v>N</v>
      </c>
      <c r="AD85" s="876"/>
      <c r="AE85" s="863"/>
      <c r="AF85" s="870"/>
      <c r="AG85" s="1019"/>
      <c r="AH85" s="802"/>
      <c r="AI85" s="803"/>
    </row>
    <row r="86" spans="1:51" hidden="1" outlineLevel="1" x14ac:dyDescent="0.3">
      <c r="A86" s="159"/>
      <c r="B86" s="1191"/>
      <c r="C86" s="735" t="str">
        <f>'Optimalizačné opatrenia'!$B$11</f>
        <v>Analyzovatelnosť</v>
      </c>
      <c r="D86" s="788" t="s">
        <v>542</v>
      </c>
      <c r="E86" s="773" t="s">
        <v>542</v>
      </c>
      <c r="F86" s="773" t="str">
        <f t="shared" si="72"/>
        <v>A</v>
      </c>
      <c r="G86" s="773" t="str">
        <f t="shared" si="73"/>
        <v>A</v>
      </c>
      <c r="H86" s="773"/>
      <c r="I86" s="773"/>
      <c r="J86" s="773"/>
      <c r="K86" s="773"/>
      <c r="L86" s="773"/>
      <c r="M86" s="773"/>
      <c r="N86" s="773" t="s">
        <v>542</v>
      </c>
      <c r="O86" s="773"/>
      <c r="P86" s="773" t="str">
        <f t="shared" si="74"/>
        <v>A</v>
      </c>
      <c r="Q86" s="773" t="str">
        <f t="shared" si="74"/>
        <v>A</v>
      </c>
      <c r="R86" s="773" t="str">
        <f t="shared" si="74"/>
        <v>A</v>
      </c>
      <c r="S86" s="773" t="str">
        <f t="shared" si="75"/>
        <v>A</v>
      </c>
      <c r="T86" s="773" t="str">
        <f t="shared" si="76"/>
        <v>A</v>
      </c>
      <c r="U86" s="773" t="str">
        <f t="shared" si="77"/>
        <v>A</v>
      </c>
      <c r="V86" s="773" t="str">
        <f t="shared" si="78"/>
        <v>A</v>
      </c>
      <c r="W86" s="773" t="str">
        <f t="shared" si="79"/>
        <v>A</v>
      </c>
      <c r="X86" s="773" t="str">
        <f t="shared" si="80"/>
        <v>A</v>
      </c>
      <c r="Y86" s="773" t="str">
        <f t="shared" si="81"/>
        <v>A</v>
      </c>
      <c r="Z86" s="773" t="str">
        <f t="shared" si="82"/>
        <v>A</v>
      </c>
      <c r="AA86" s="773" t="str">
        <f t="shared" si="83"/>
        <v>A</v>
      </c>
      <c r="AB86" s="773" t="str">
        <f t="shared" si="84"/>
        <v>A</v>
      </c>
      <c r="AC86" s="773" t="str">
        <f t="shared" si="85"/>
        <v>A</v>
      </c>
      <c r="AD86" s="876"/>
      <c r="AE86" s="863"/>
      <c r="AF86" s="870"/>
      <c r="AG86" s="1019"/>
      <c r="AH86" s="802"/>
      <c r="AI86" s="803"/>
    </row>
    <row r="87" spans="1:51" hidden="1" outlineLevel="1" x14ac:dyDescent="0.3">
      <c r="A87" s="159"/>
      <c r="B87" s="1191"/>
      <c r="C87" s="735" t="str">
        <f>'Optimalizačné opatrenia'!$B$12</f>
        <v>Integrácia</v>
      </c>
      <c r="D87" s="788" t="s">
        <v>542</v>
      </c>
      <c r="E87" s="773" t="s">
        <v>542</v>
      </c>
      <c r="F87" s="773" t="str">
        <f t="shared" si="72"/>
        <v>A</v>
      </c>
      <c r="G87" s="773" t="str">
        <f t="shared" si="73"/>
        <v>A</v>
      </c>
      <c r="H87" s="773"/>
      <c r="I87" s="773"/>
      <c r="J87" s="773"/>
      <c r="K87" s="773"/>
      <c r="L87" s="773"/>
      <c r="M87" s="773"/>
      <c r="N87" s="773" t="s">
        <v>542</v>
      </c>
      <c r="O87" s="773"/>
      <c r="P87" s="773" t="str">
        <f t="shared" si="74"/>
        <v>A</v>
      </c>
      <c r="Q87" s="773" t="str">
        <f t="shared" si="74"/>
        <v>A</v>
      </c>
      <c r="R87" s="773" t="str">
        <f t="shared" si="74"/>
        <v>A</v>
      </c>
      <c r="S87" s="773" t="str">
        <f t="shared" si="75"/>
        <v>A</v>
      </c>
      <c r="T87" s="773" t="str">
        <f t="shared" si="76"/>
        <v>A</v>
      </c>
      <c r="U87" s="773" t="str">
        <f t="shared" si="77"/>
        <v>A</v>
      </c>
      <c r="V87" s="773" t="str">
        <f t="shared" si="78"/>
        <v>A</v>
      </c>
      <c r="W87" s="773" t="str">
        <f t="shared" si="79"/>
        <v>A</v>
      </c>
      <c r="X87" s="773" t="str">
        <f t="shared" si="80"/>
        <v>A</v>
      </c>
      <c r="Y87" s="773" t="str">
        <f t="shared" si="81"/>
        <v>A</v>
      </c>
      <c r="Z87" s="773" t="str">
        <f t="shared" si="82"/>
        <v>A</v>
      </c>
      <c r="AA87" s="773" t="str">
        <f t="shared" si="83"/>
        <v>A</v>
      </c>
      <c r="AB87" s="773" t="str">
        <f t="shared" si="84"/>
        <v>A</v>
      </c>
      <c r="AC87" s="773" t="str">
        <f t="shared" si="85"/>
        <v>A</v>
      </c>
      <c r="AD87" s="876"/>
      <c r="AE87" s="863"/>
      <c r="AF87" s="870"/>
      <c r="AG87" s="1019"/>
      <c r="AH87" s="802"/>
      <c r="AI87" s="803"/>
    </row>
    <row r="88" spans="1:51" hidden="1" outlineLevel="1" x14ac:dyDescent="0.3">
      <c r="A88" s="159"/>
      <c r="B88" s="1191"/>
      <c r="C88" s="740" t="str">
        <f>'Optimalizačné opatrenia'!$B$13</f>
        <v>Proaktivita</v>
      </c>
      <c r="D88" s="788" t="s">
        <v>542</v>
      </c>
      <c r="E88" s="773" t="s">
        <v>542</v>
      </c>
      <c r="F88" s="773" t="str">
        <f t="shared" si="72"/>
        <v>A</v>
      </c>
      <c r="G88" s="773" t="str">
        <f t="shared" si="73"/>
        <v>N</v>
      </c>
      <c r="H88" s="773"/>
      <c r="I88" s="773"/>
      <c r="J88" s="773"/>
      <c r="K88" s="773"/>
      <c r="L88" s="773"/>
      <c r="M88" s="773"/>
      <c r="N88" s="773" t="s">
        <v>542</v>
      </c>
      <c r="O88" s="773"/>
      <c r="P88" s="773" t="str">
        <f t="shared" si="74"/>
        <v>N</v>
      </c>
      <c r="Q88" s="773" t="str">
        <f t="shared" si="74"/>
        <v>N</v>
      </c>
      <c r="R88" s="773" t="str">
        <f t="shared" si="74"/>
        <v>A</v>
      </c>
      <c r="S88" s="773" t="str">
        <f t="shared" si="75"/>
        <v>A</v>
      </c>
      <c r="T88" s="773" t="str">
        <f t="shared" si="76"/>
        <v>A</v>
      </c>
      <c r="U88" s="773" t="str">
        <f t="shared" si="77"/>
        <v>N</v>
      </c>
      <c r="V88" s="773" t="str">
        <f t="shared" si="78"/>
        <v>A</v>
      </c>
      <c r="W88" s="773" t="str">
        <f t="shared" si="79"/>
        <v>N</v>
      </c>
      <c r="X88" s="773" t="str">
        <f t="shared" si="80"/>
        <v>N</v>
      </c>
      <c r="Y88" s="773" t="str">
        <f t="shared" si="81"/>
        <v>A</v>
      </c>
      <c r="Z88" s="773" t="str">
        <f t="shared" si="82"/>
        <v>A</v>
      </c>
      <c r="AA88" s="773" t="str">
        <f t="shared" si="83"/>
        <v>A</v>
      </c>
      <c r="AB88" s="773" t="str">
        <f t="shared" si="84"/>
        <v>N</v>
      </c>
      <c r="AC88" s="773" t="str">
        <f t="shared" si="85"/>
        <v>A</v>
      </c>
      <c r="AD88" s="876"/>
      <c r="AE88" s="863"/>
      <c r="AF88" s="870"/>
      <c r="AG88" s="1019"/>
      <c r="AH88" s="802"/>
      <c r="AI88" s="803"/>
    </row>
    <row r="89" spans="1:51" hidden="1" outlineLevel="1" x14ac:dyDescent="0.3">
      <c r="A89" s="159"/>
      <c r="B89" s="790"/>
      <c r="C89" s="792" t="s">
        <v>550</v>
      </c>
      <c r="D89" s="793">
        <v>0</v>
      </c>
      <c r="E89" s="791">
        <v>0</v>
      </c>
      <c r="F89" s="794">
        <f t="shared" si="72"/>
        <v>0.4</v>
      </c>
      <c r="G89" s="794">
        <f t="shared" si="73"/>
        <v>0.3</v>
      </c>
      <c r="H89" s="794"/>
      <c r="I89" s="794"/>
      <c r="J89" s="794"/>
      <c r="K89" s="794"/>
      <c r="L89" s="794"/>
      <c r="M89" s="794"/>
      <c r="N89" s="794">
        <v>0</v>
      </c>
      <c r="O89" s="794"/>
      <c r="P89" s="794">
        <f t="shared" si="74"/>
        <v>0.45</v>
      </c>
      <c r="Q89" s="794">
        <f t="shared" si="74"/>
        <v>0.3</v>
      </c>
      <c r="R89" s="794">
        <f t="shared" si="74"/>
        <v>0.4</v>
      </c>
      <c r="S89" s="794">
        <f t="shared" si="75"/>
        <v>0.4</v>
      </c>
      <c r="T89" s="794">
        <f t="shared" si="76"/>
        <v>0.4</v>
      </c>
      <c r="U89" s="794">
        <f t="shared" si="77"/>
        <v>0.3</v>
      </c>
      <c r="V89" s="794">
        <f t="shared" si="78"/>
        <v>0.5</v>
      </c>
      <c r="W89" s="794">
        <f t="shared" si="79"/>
        <v>0.3</v>
      </c>
      <c r="X89" s="794">
        <f t="shared" si="80"/>
        <v>0.3</v>
      </c>
      <c r="Y89" s="794">
        <f t="shared" si="81"/>
        <v>0.4</v>
      </c>
      <c r="Z89" s="794">
        <f t="shared" si="82"/>
        <v>0.4</v>
      </c>
      <c r="AA89" s="794">
        <f t="shared" si="83"/>
        <v>0.5</v>
      </c>
      <c r="AB89" s="794">
        <f t="shared" si="84"/>
        <v>0.3</v>
      </c>
      <c r="AC89" s="794">
        <f t="shared" si="85"/>
        <v>0.4</v>
      </c>
      <c r="AD89" s="877"/>
      <c r="AE89" s="864"/>
      <c r="AF89" s="871"/>
      <c r="AG89" s="1020"/>
      <c r="AH89" s="805"/>
      <c r="AI89" s="806"/>
    </row>
    <row r="90" spans="1:51" ht="15" collapsed="1" thickBot="1" x14ac:dyDescent="0.35">
      <c r="A90" s="159"/>
      <c r="B90" s="811"/>
      <c r="C90" s="812" t="s">
        <v>601</v>
      </c>
      <c r="D90" s="813"/>
      <c r="E90" s="813"/>
      <c r="F90" s="813"/>
      <c r="G90" s="814"/>
      <c r="H90" s="814"/>
      <c r="I90" s="814"/>
      <c r="J90" s="814"/>
      <c r="K90" s="814"/>
      <c r="L90" s="814"/>
      <c r="M90" s="814"/>
      <c r="N90" s="814"/>
      <c r="O90" s="814"/>
      <c r="P90" s="814"/>
      <c r="Q90" s="814"/>
      <c r="R90" s="814"/>
      <c r="S90" s="814"/>
      <c r="T90" s="814"/>
      <c r="U90" s="814"/>
      <c r="V90" s="814"/>
      <c r="W90" s="814"/>
      <c r="X90" s="814"/>
      <c r="Y90" s="814"/>
      <c r="Z90" s="814"/>
      <c r="AA90" s="814"/>
      <c r="AB90" s="814"/>
      <c r="AC90" s="814"/>
      <c r="AD90" s="821"/>
      <c r="AE90" s="865"/>
      <c r="AF90" s="872">
        <f>'Procesy - AS IS'!AG24/(1+$AE5)-'Procesy - AS IS'!AG24</f>
        <v>0</v>
      </c>
      <c r="AG90" s="1021">
        <f>'Procesy - AS IS'!AH24/(1+$AE5)-'Procesy - AS IS'!AH24</f>
        <v>0</v>
      </c>
      <c r="AH90" s="816">
        <f>'Procesy - AS IS'!AI24/(1+$AE5)-'Procesy - AS IS'!AI24</f>
        <v>0</v>
      </c>
      <c r="AI90" s="817">
        <f>'Procesy - AS IS'!AJ24/(1+$AE5)-'Procesy - AS IS'!AJ24</f>
        <v>0</v>
      </c>
    </row>
    <row r="91" spans="1:51" x14ac:dyDescent="0.3">
      <c r="A91" s="159"/>
      <c r="B91" s="725" t="s">
        <v>545</v>
      </c>
      <c r="C91" s="726" t="s">
        <v>526</v>
      </c>
      <c r="D91" s="796">
        <f t="shared" ref="D91:G91" si="86">D92*$AF92/($AF91-$AF190)+D106*$AF106/($AF91-$AF190)+D120*$AF120/($AF91-$AF190)+D134*$AF134/($AF91-$AF190)+D148*$AF148/($AF91-$AF190)+D162*$AF162/($AF91-$AF190)+D176*$AF176/($AF91-$AF190)</f>
        <v>0</v>
      </c>
      <c r="E91" s="719">
        <f t="shared" si="86"/>
        <v>0</v>
      </c>
      <c r="F91" s="719">
        <f t="shared" si="86"/>
        <v>0</v>
      </c>
      <c r="G91" s="729">
        <f t="shared" si="86"/>
        <v>-2.7361369682982697</v>
      </c>
      <c r="H91" s="722"/>
      <c r="I91" s="722"/>
      <c r="J91" s="722"/>
      <c r="K91" s="722"/>
      <c r="L91" s="729">
        <f t="shared" ref="L91:N91" si="87">L92*$AF92/($AF91-$AF190)+L106*$AF106/($AF91-$AF190)+L120*$AF120/($AF91-$AF190)+L134*$AF134/($AF91-$AF190)+L148*$AF148/($AF91-$AF190)+L162*$AF162/($AF91-$AF190)+L176*$AF176/($AF91-$AF190)</f>
        <v>-9.9999999999999978E-2</v>
      </c>
      <c r="M91" s="729">
        <f t="shared" si="87"/>
        <v>-0.98823259316762679</v>
      </c>
      <c r="N91" s="719">
        <f t="shared" si="87"/>
        <v>0</v>
      </c>
      <c r="O91" s="719"/>
      <c r="P91" s="719">
        <f t="shared" ref="P91:AB91" si="88">P92*$AF92/($AF91-$AF190)+P106*$AF106/($AF91-$AF190)+P120*$AF120/($AF91-$AF190)+P134*$AF134/($AF91-$AF190)+P148*$AF148/($AF91-$AF190)+P162*$AF162/($AF91-$AF190)+P176*$AF176/($AF91-$AF190)</f>
        <v>-0.44999999999999996</v>
      </c>
      <c r="Q91" s="719">
        <f t="shared" si="88"/>
        <v>0</v>
      </c>
      <c r="R91" s="719">
        <f t="shared" si="88"/>
        <v>-1.5107063043601612</v>
      </c>
      <c r="S91" s="719">
        <f t="shared" si="88"/>
        <v>-5.5565664681849727</v>
      </c>
      <c r="T91" s="719">
        <f t="shared" si="88"/>
        <v>-0.51780547460189807</v>
      </c>
      <c r="U91" s="719">
        <f t="shared" si="88"/>
        <v>-2.0116458940485762</v>
      </c>
      <c r="V91" s="719">
        <f t="shared" si="88"/>
        <v>-0.36760010673189153</v>
      </c>
      <c r="W91" s="719">
        <f t="shared" si="88"/>
        <v>-8.697848618659007E-2</v>
      </c>
      <c r="X91" s="719">
        <f t="shared" si="88"/>
        <v>0</v>
      </c>
      <c r="Y91" s="719">
        <f t="shared" si="88"/>
        <v>-0.92777051932362742</v>
      </c>
      <c r="Z91" s="719">
        <f t="shared" si="88"/>
        <v>-1.6078433454608399E-2</v>
      </c>
      <c r="AA91" s="719">
        <f t="shared" si="88"/>
        <v>-4.0196083636520996E-2</v>
      </c>
      <c r="AB91" s="719">
        <f t="shared" si="88"/>
        <v>-0.20657510961171963</v>
      </c>
      <c r="AC91" s="720">
        <f>AC92*$AF92/($AF91-$AF190)+AC106*$AF106/($AF91-$AF190)+AC120*$AF120/($AF91-$AF190)+AC134*$AF134/($AF91-$AF190)+AC148*$AF148/($AF91-$AF190)+AC162*$AF162/($AF91-$AF190)+AC176*$AF176/($AF91-$AF190)</f>
        <v>-0.49608013038079829</v>
      </c>
      <c r="AD91" s="822">
        <f>SUM(AD92:AD176)</f>
        <v>-108.64966314387367</v>
      </c>
      <c r="AE91" s="862">
        <f>-SUM(AF92:AF189)/('Procesy - AS IS'!AG25+SUM(AF92:AF189))</f>
        <v>-0.3084658434704694</v>
      </c>
      <c r="AF91" s="873">
        <f>SUM(AF92:AF190)</f>
        <v>286.81668935472453</v>
      </c>
      <c r="AG91" s="1022">
        <f>SUM(AG92:AG190)</f>
        <v>55.264281842666733</v>
      </c>
      <c r="AH91" s="807">
        <f>SUM(AH92:AH190)</f>
        <v>49.443871927296044</v>
      </c>
      <c r="AI91" s="808">
        <f>SUM(AI92:AI190)</f>
        <v>10.103124295039041</v>
      </c>
      <c r="AK91" s="232"/>
      <c r="AL91"/>
      <c r="AY91" s="227"/>
    </row>
    <row r="92" spans="1:51" ht="28.8" x14ac:dyDescent="0.3">
      <c r="A92" s="159">
        <f ca="1">OFFSET(A92,-16,0)+1</f>
        <v>7</v>
      </c>
      <c r="B92" s="736" t="str">
        <f ca="1">'Procesy - AS IS'!B26</f>
        <v>Meranie č. 7</v>
      </c>
      <c r="C92" s="739" t="str">
        <f>'Procesy - AS IS'!C26</f>
        <v>Modelovaný spis kontroly veľkého zdroja diskusiou s inšpektorom</v>
      </c>
      <c r="D92" s="796">
        <f>-'Procesy - AS IS'!D28*D105</f>
        <v>0</v>
      </c>
      <c r="E92" s="721">
        <f>-'Procesy - AS IS'!E28*E105</f>
        <v>0</v>
      </c>
      <c r="F92" s="721">
        <f>-'Procesy - AS IS'!F28*F105</f>
        <v>0</v>
      </c>
      <c r="G92" s="721">
        <f>-'Procesy - AS IS'!G28*G105</f>
        <v>-3.5999999999999996</v>
      </c>
      <c r="H92" s="721" t="s">
        <v>568</v>
      </c>
      <c r="I92" s="721" t="s">
        <v>568</v>
      </c>
      <c r="J92" s="721" t="s">
        <v>568</v>
      </c>
      <c r="K92" s="721" t="s">
        <v>568</v>
      </c>
      <c r="L92" s="721">
        <f>-'Procesy - AS IS'!L28*L105</f>
        <v>-0.1</v>
      </c>
      <c r="M92" s="721">
        <f>-'Procesy - AS IS'!M28*M105</f>
        <v>-0.89999999999999991</v>
      </c>
      <c r="N92" s="721">
        <f>-'Procesy - AS IS'!N28*N105</f>
        <v>0</v>
      </c>
      <c r="O92" s="721" t="s">
        <v>572</v>
      </c>
      <c r="P92" s="721">
        <f>-'Procesy - AS IS'!P28*P105</f>
        <v>-0.45</v>
      </c>
      <c r="Q92" s="721">
        <f>-'Procesy - AS IS'!Q28*Q105</f>
        <v>0</v>
      </c>
      <c r="R92" s="721">
        <f>-'Procesy - AS IS'!R28*R105</f>
        <v>-3.5657142857142858</v>
      </c>
      <c r="S92" s="721">
        <f>-'Procesy - AS IS'!S28*S105</f>
        <v>-6.8342857142857145</v>
      </c>
      <c r="T92" s="721">
        <f>-'Procesy - AS IS'!T28*T105</f>
        <v>-1.0971428571428572</v>
      </c>
      <c r="U92" s="721">
        <f>-'Procesy - AS IS'!U28*U105</f>
        <v>-1.5771428571428572</v>
      </c>
      <c r="V92" s="721">
        <f>-'Procesy - AS IS'!V28*V105</f>
        <v>-0.25</v>
      </c>
      <c r="W92" s="721">
        <f>-'Procesy - AS IS'!W28*W105</f>
        <v>-0.18857142857142856</v>
      </c>
      <c r="X92" s="721">
        <f>-'Procesy - AS IS'!X28*X105</f>
        <v>0</v>
      </c>
      <c r="Y92" s="721">
        <f>-'Procesy - AS IS'!Y28*Y105</f>
        <v>-2.0114285714285716</v>
      </c>
      <c r="Z92" s="721">
        <f>-'Procesy - AS IS'!Z28*Z105</f>
        <v>-2.2857142857142857E-2</v>
      </c>
      <c r="AA92" s="721">
        <f>-'Procesy - AS IS'!AA28*AA105</f>
        <v>-5.7142857142857141E-2</v>
      </c>
      <c r="AB92" s="721">
        <f>-'Procesy - AS IS'!AB28*AB105</f>
        <v>-0.3428571428571428</v>
      </c>
      <c r="AC92" s="721">
        <f>-'Procesy - AS IS'!AC28*AC105</f>
        <v>-0.91428571428571426</v>
      </c>
      <c r="AD92" s="824">
        <f>SUM(D92:AC92)</f>
        <v>-21.911428571428569</v>
      </c>
      <c r="AE92" s="798">
        <f>AD92/'Procesy - AS IS'!AD28</f>
        <v>-0.36514700630877273</v>
      </c>
      <c r="AF92" s="869">
        <f>'Procesy - AS IS'!AG28/(1+$AE92)-'Procesy - AS IS'!AG28</f>
        <v>20.130873364082944</v>
      </c>
      <c r="AG92" s="1018">
        <f>'Procesy - AS IS'!AH28/(1+$AE92)-'Procesy - AS IS'!AH28</f>
        <v>6.9020137248284392</v>
      </c>
      <c r="AH92" s="800">
        <f>'Procesy - AS IS'!AI28/(1+$AE92)-'Procesy - AS IS'!AI28</f>
        <v>6.3268459144260696</v>
      </c>
      <c r="AI92" s="801">
        <f>'Procesy - AS IS'!AJ28/(1+$AE92)-'Procesy - AS IS'!AJ28</f>
        <v>1.1503356208047397</v>
      </c>
      <c r="AK92" s="232"/>
      <c r="AY92" s="227"/>
    </row>
    <row r="93" spans="1:51" hidden="1" outlineLevel="1" x14ac:dyDescent="0.3">
      <c r="A93" s="159"/>
      <c r="B93" s="1190" t="s">
        <v>540</v>
      </c>
      <c r="C93" s="735" t="str">
        <f>'Optimalizačné opatrenia'!$B$2</f>
        <v>Modernizácia</v>
      </c>
      <c r="D93" s="788" t="s">
        <v>542</v>
      </c>
      <c r="E93" s="773" t="s">
        <v>542</v>
      </c>
      <c r="F93" s="773" t="s">
        <v>542</v>
      </c>
      <c r="G93" s="773" t="str">
        <f t="shared" ref="G93:G105" si="89">G77</f>
        <v>A</v>
      </c>
      <c r="H93" s="773"/>
      <c r="I93" s="773"/>
      <c r="J93" s="773"/>
      <c r="K93" s="773"/>
      <c r="L93" s="773" t="str">
        <f t="shared" ref="L93:L105" si="90">R7</f>
        <v>A</v>
      </c>
      <c r="M93" s="773" t="str">
        <f t="shared" ref="M93:M105" si="91">G93</f>
        <v>A</v>
      </c>
      <c r="N93" s="773" t="s">
        <v>542</v>
      </c>
      <c r="O93" s="773"/>
      <c r="P93" s="773" t="str">
        <f t="shared" ref="P93:R105" si="92">P7</f>
        <v>A</v>
      </c>
      <c r="Q93" s="773" t="str">
        <f t="shared" si="92"/>
        <v>A</v>
      </c>
      <c r="R93" s="773" t="str">
        <f t="shared" si="92"/>
        <v>A</v>
      </c>
      <c r="S93" s="773" t="str">
        <f t="shared" ref="S93:S105" si="93">R93</f>
        <v>A</v>
      </c>
      <c r="T93" s="773" t="str">
        <f t="shared" ref="T93:T105" si="94">R93</f>
        <v>A</v>
      </c>
      <c r="U93" s="773" t="str">
        <f t="shared" ref="U93:U105" si="95">G93</f>
        <v>A</v>
      </c>
      <c r="V93" s="773" t="str">
        <f t="shared" ref="V93:X105" si="96">V7</f>
        <v>A</v>
      </c>
      <c r="W93" s="773" t="str">
        <f t="shared" si="96"/>
        <v>A</v>
      </c>
      <c r="X93" s="773" t="str">
        <f t="shared" si="96"/>
        <v>A</v>
      </c>
      <c r="Y93" s="773" t="str">
        <f t="shared" ref="Y93:Y105" si="97">R93</f>
        <v>A</v>
      </c>
      <c r="Z93" s="773" t="str">
        <f t="shared" ref="Z93:Z105" si="98">R93</f>
        <v>A</v>
      </c>
      <c r="AA93" s="773" t="str">
        <f t="shared" ref="AA93:AA105" si="99">$V93</f>
        <v>A</v>
      </c>
      <c r="AB93" s="773" t="str">
        <f t="shared" ref="AB93:AB105" si="100">G93</f>
        <v>A</v>
      </c>
      <c r="AC93" s="773" t="str">
        <f t="shared" ref="AC93:AC105" si="101">R93</f>
        <v>A</v>
      </c>
      <c r="AD93" s="876"/>
      <c r="AE93" s="863"/>
      <c r="AF93" s="870"/>
      <c r="AG93" s="1019"/>
      <c r="AH93" s="802"/>
      <c r="AI93" s="803"/>
    </row>
    <row r="94" spans="1:51" hidden="1" outlineLevel="1" x14ac:dyDescent="0.3">
      <c r="A94" s="159"/>
      <c r="B94" s="1191"/>
      <c r="C94" s="735" t="str">
        <f>'Optimalizačné opatrenia'!$B$3</f>
        <v>Sfunkčnenie</v>
      </c>
      <c r="D94" s="788" t="s">
        <v>542</v>
      </c>
      <c r="E94" s="773" t="s">
        <v>542</v>
      </c>
      <c r="F94" s="773" t="s">
        <v>542</v>
      </c>
      <c r="G94" s="773" t="str">
        <f t="shared" si="89"/>
        <v>N</v>
      </c>
      <c r="H94" s="773"/>
      <c r="I94" s="773"/>
      <c r="J94" s="773"/>
      <c r="K94" s="773"/>
      <c r="L94" s="773" t="str">
        <f t="shared" si="90"/>
        <v>N</v>
      </c>
      <c r="M94" s="773" t="str">
        <f t="shared" si="91"/>
        <v>N</v>
      </c>
      <c r="N94" s="773" t="s">
        <v>542</v>
      </c>
      <c r="O94" s="773"/>
      <c r="P94" s="773" t="str">
        <f t="shared" si="92"/>
        <v>N</v>
      </c>
      <c r="Q94" s="773" t="str">
        <f t="shared" si="92"/>
        <v>N</v>
      </c>
      <c r="R94" s="773" t="str">
        <f t="shared" si="92"/>
        <v>N</v>
      </c>
      <c r="S94" s="773" t="str">
        <f t="shared" si="93"/>
        <v>N</v>
      </c>
      <c r="T94" s="773" t="str">
        <f t="shared" si="94"/>
        <v>N</v>
      </c>
      <c r="U94" s="773" t="str">
        <f t="shared" si="95"/>
        <v>N</v>
      </c>
      <c r="V94" s="773" t="str">
        <f t="shared" si="96"/>
        <v>N</v>
      </c>
      <c r="W94" s="773" t="str">
        <f t="shared" si="96"/>
        <v>N</v>
      </c>
      <c r="X94" s="773" t="str">
        <f t="shared" si="96"/>
        <v>N</v>
      </c>
      <c r="Y94" s="773" t="str">
        <f t="shared" si="97"/>
        <v>N</v>
      </c>
      <c r="Z94" s="773" t="str">
        <f t="shared" si="98"/>
        <v>N</v>
      </c>
      <c r="AA94" s="773" t="str">
        <f t="shared" si="99"/>
        <v>N</v>
      </c>
      <c r="AB94" s="773" t="str">
        <f t="shared" si="100"/>
        <v>N</v>
      </c>
      <c r="AC94" s="773" t="str">
        <f t="shared" si="101"/>
        <v>N</v>
      </c>
      <c r="AD94" s="876"/>
      <c r="AE94" s="863"/>
      <c r="AF94" s="870"/>
      <c r="AG94" s="1019"/>
      <c r="AH94" s="802"/>
      <c r="AI94" s="803"/>
    </row>
    <row r="95" spans="1:51" hidden="1" outlineLevel="1" x14ac:dyDescent="0.3">
      <c r="A95" s="159"/>
      <c r="B95" s="1191"/>
      <c r="C95" s="735" t="str">
        <f>'Optimalizačné opatrenia'!$B$4</f>
        <v>Zjednotenie</v>
      </c>
      <c r="D95" s="788" t="s">
        <v>542</v>
      </c>
      <c r="E95" s="773" t="s">
        <v>542</v>
      </c>
      <c r="F95" s="773" t="s">
        <v>542</v>
      </c>
      <c r="G95" s="773" t="str">
        <f t="shared" si="89"/>
        <v>A</v>
      </c>
      <c r="H95" s="773"/>
      <c r="I95" s="773"/>
      <c r="J95" s="773"/>
      <c r="K95" s="773"/>
      <c r="L95" s="773" t="str">
        <f t="shared" si="90"/>
        <v>A</v>
      </c>
      <c r="M95" s="773" t="str">
        <f t="shared" si="91"/>
        <v>A</v>
      </c>
      <c r="N95" s="773" t="s">
        <v>542</v>
      </c>
      <c r="O95" s="773"/>
      <c r="P95" s="773" t="str">
        <f t="shared" si="92"/>
        <v>A</v>
      </c>
      <c r="Q95" s="773" t="str">
        <f t="shared" si="92"/>
        <v>A</v>
      </c>
      <c r="R95" s="773" t="str">
        <f t="shared" si="92"/>
        <v>A</v>
      </c>
      <c r="S95" s="773" t="str">
        <f t="shared" si="93"/>
        <v>A</v>
      </c>
      <c r="T95" s="773" t="str">
        <f t="shared" si="94"/>
        <v>A</v>
      </c>
      <c r="U95" s="773" t="str">
        <f t="shared" si="95"/>
        <v>A</v>
      </c>
      <c r="V95" s="773" t="str">
        <f t="shared" si="96"/>
        <v>A</v>
      </c>
      <c r="W95" s="773" t="str">
        <f t="shared" si="96"/>
        <v>A</v>
      </c>
      <c r="X95" s="773" t="str">
        <f t="shared" si="96"/>
        <v>A</v>
      </c>
      <c r="Y95" s="773" t="str">
        <f t="shared" si="97"/>
        <v>A</v>
      </c>
      <c r="Z95" s="773" t="str">
        <f t="shared" si="98"/>
        <v>A</v>
      </c>
      <c r="AA95" s="773" t="str">
        <f t="shared" si="99"/>
        <v>A</v>
      </c>
      <c r="AB95" s="773" t="str">
        <f t="shared" si="100"/>
        <v>A</v>
      </c>
      <c r="AC95" s="773" t="str">
        <f t="shared" si="101"/>
        <v>A</v>
      </c>
      <c r="AD95" s="876"/>
      <c r="AE95" s="863"/>
      <c r="AF95" s="870"/>
      <c r="AG95" s="1019"/>
      <c r="AH95" s="802"/>
      <c r="AI95" s="803"/>
    </row>
    <row r="96" spans="1:51" hidden="1" outlineLevel="1" x14ac:dyDescent="0.3">
      <c r="A96" s="159"/>
      <c r="B96" s="1191"/>
      <c r="C96" s="735" t="str">
        <f>'Optimalizačné opatrenia'!$B$5</f>
        <v>Centralizácia</v>
      </c>
      <c r="D96" s="788" t="s">
        <v>542</v>
      </c>
      <c r="E96" s="773" t="s">
        <v>542</v>
      </c>
      <c r="F96" s="773" t="s">
        <v>542</v>
      </c>
      <c r="G96" s="773" t="str">
        <f t="shared" si="89"/>
        <v>A</v>
      </c>
      <c r="H96" s="773"/>
      <c r="I96" s="773"/>
      <c r="J96" s="773"/>
      <c r="K96" s="773"/>
      <c r="L96" s="773" t="str">
        <f t="shared" si="90"/>
        <v>A</v>
      </c>
      <c r="M96" s="773" t="str">
        <f t="shared" si="91"/>
        <v>A</v>
      </c>
      <c r="N96" s="773" t="s">
        <v>542</v>
      </c>
      <c r="O96" s="773"/>
      <c r="P96" s="773" t="str">
        <f t="shared" si="92"/>
        <v>A</v>
      </c>
      <c r="Q96" s="773" t="str">
        <f t="shared" si="92"/>
        <v>A</v>
      </c>
      <c r="R96" s="773" t="str">
        <f t="shared" si="92"/>
        <v>A</v>
      </c>
      <c r="S96" s="773" t="str">
        <f t="shared" si="93"/>
        <v>A</v>
      </c>
      <c r="T96" s="773" t="str">
        <f t="shared" si="94"/>
        <v>A</v>
      </c>
      <c r="U96" s="773" t="str">
        <f t="shared" si="95"/>
        <v>A</v>
      </c>
      <c r="V96" s="773" t="str">
        <f t="shared" si="96"/>
        <v>A</v>
      </c>
      <c r="W96" s="773" t="str">
        <f t="shared" si="96"/>
        <v>A</v>
      </c>
      <c r="X96" s="773" t="str">
        <f t="shared" si="96"/>
        <v>A</v>
      </c>
      <c r="Y96" s="773" t="str">
        <f t="shared" si="97"/>
        <v>A</v>
      </c>
      <c r="Z96" s="773" t="str">
        <f t="shared" si="98"/>
        <v>A</v>
      </c>
      <c r="AA96" s="773" t="str">
        <f t="shared" si="99"/>
        <v>A</v>
      </c>
      <c r="AB96" s="773" t="str">
        <f t="shared" si="100"/>
        <v>A</v>
      </c>
      <c r="AC96" s="773" t="str">
        <f t="shared" si="101"/>
        <v>A</v>
      </c>
      <c r="AD96" s="876"/>
      <c r="AE96" s="863"/>
      <c r="AF96" s="870"/>
      <c r="AG96" s="1019"/>
      <c r="AH96" s="802"/>
      <c r="AI96" s="803"/>
    </row>
    <row r="97" spans="1:51" hidden="1" outlineLevel="1" x14ac:dyDescent="0.3">
      <c r="A97" s="159"/>
      <c r="B97" s="1191"/>
      <c r="C97" s="735" t="str">
        <f>'Optimalizačné opatrenia'!$B$6</f>
        <v>Elektronizácia</v>
      </c>
      <c r="D97" s="788" t="s">
        <v>542</v>
      </c>
      <c r="E97" s="773" t="s">
        <v>542</v>
      </c>
      <c r="F97" s="773" t="s">
        <v>542</v>
      </c>
      <c r="G97" s="773" t="str">
        <f t="shared" si="89"/>
        <v>A</v>
      </c>
      <c r="H97" s="773"/>
      <c r="I97" s="773"/>
      <c r="J97" s="773"/>
      <c r="K97" s="773"/>
      <c r="L97" s="773" t="str">
        <f t="shared" si="90"/>
        <v>A</v>
      </c>
      <c r="M97" s="773" t="str">
        <f t="shared" si="91"/>
        <v>A</v>
      </c>
      <c r="N97" s="773" t="s">
        <v>542</v>
      </c>
      <c r="O97" s="773"/>
      <c r="P97" s="773" t="str">
        <f t="shared" si="92"/>
        <v>A</v>
      </c>
      <c r="Q97" s="773" t="str">
        <f t="shared" si="92"/>
        <v>A</v>
      </c>
      <c r="R97" s="773" t="str">
        <f t="shared" si="92"/>
        <v>A</v>
      </c>
      <c r="S97" s="773" t="str">
        <f t="shared" si="93"/>
        <v>A</v>
      </c>
      <c r="T97" s="773" t="str">
        <f t="shared" si="94"/>
        <v>A</v>
      </c>
      <c r="U97" s="773" t="str">
        <f t="shared" si="95"/>
        <v>A</v>
      </c>
      <c r="V97" s="773" t="str">
        <f t="shared" si="96"/>
        <v>A</v>
      </c>
      <c r="W97" s="773" t="str">
        <f t="shared" si="96"/>
        <v>A</v>
      </c>
      <c r="X97" s="773" t="str">
        <f t="shared" si="96"/>
        <v>A</v>
      </c>
      <c r="Y97" s="773" t="str">
        <f t="shared" si="97"/>
        <v>A</v>
      </c>
      <c r="Z97" s="773" t="str">
        <f t="shared" si="98"/>
        <v>A</v>
      </c>
      <c r="AA97" s="773" t="str">
        <f t="shared" si="99"/>
        <v>A</v>
      </c>
      <c r="AB97" s="773" t="str">
        <f t="shared" si="100"/>
        <v>A</v>
      </c>
      <c r="AC97" s="773" t="str">
        <f t="shared" si="101"/>
        <v>A</v>
      </c>
      <c r="AD97" s="876"/>
      <c r="AE97" s="863"/>
      <c r="AF97" s="870"/>
      <c r="AG97" s="1019"/>
      <c r="AH97" s="802"/>
      <c r="AI97" s="803"/>
    </row>
    <row r="98" spans="1:51" hidden="1" outlineLevel="1" x14ac:dyDescent="0.3">
      <c r="A98" s="159"/>
      <c r="B98" s="1191"/>
      <c r="C98" s="735" t="str">
        <f>'Optimalizačné opatrenia'!$B$7</f>
        <v>Automatizácia</v>
      </c>
      <c r="D98" s="788" t="s">
        <v>542</v>
      </c>
      <c r="E98" s="773" t="s">
        <v>542</v>
      </c>
      <c r="F98" s="773" t="s">
        <v>542</v>
      </c>
      <c r="G98" s="773" t="str">
        <f t="shared" si="89"/>
        <v>A</v>
      </c>
      <c r="H98" s="773"/>
      <c r="I98" s="773"/>
      <c r="J98" s="773"/>
      <c r="K98" s="773"/>
      <c r="L98" s="773" t="str">
        <f t="shared" si="90"/>
        <v>A</v>
      </c>
      <c r="M98" s="773" t="str">
        <f t="shared" si="91"/>
        <v>A</v>
      </c>
      <c r="N98" s="773" t="s">
        <v>542</v>
      </c>
      <c r="O98" s="773"/>
      <c r="P98" s="773" t="str">
        <f t="shared" si="92"/>
        <v>A</v>
      </c>
      <c r="Q98" s="773" t="str">
        <f t="shared" si="92"/>
        <v>A</v>
      </c>
      <c r="R98" s="773" t="str">
        <f t="shared" si="92"/>
        <v>A</v>
      </c>
      <c r="S98" s="773" t="str">
        <f t="shared" si="93"/>
        <v>A</v>
      </c>
      <c r="T98" s="773" t="str">
        <f t="shared" si="94"/>
        <v>A</v>
      </c>
      <c r="U98" s="773" t="str">
        <f t="shared" si="95"/>
        <v>A</v>
      </c>
      <c r="V98" s="773" t="str">
        <f t="shared" si="96"/>
        <v>A</v>
      </c>
      <c r="W98" s="773" t="str">
        <f t="shared" si="96"/>
        <v>A</v>
      </c>
      <c r="X98" s="773" t="str">
        <f t="shared" si="96"/>
        <v>A</v>
      </c>
      <c r="Y98" s="773" t="str">
        <f t="shared" si="97"/>
        <v>A</v>
      </c>
      <c r="Z98" s="773" t="str">
        <f t="shared" si="98"/>
        <v>A</v>
      </c>
      <c r="AA98" s="773" t="str">
        <f t="shared" si="99"/>
        <v>A</v>
      </c>
      <c r="AB98" s="773" t="str">
        <f t="shared" si="100"/>
        <v>A</v>
      </c>
      <c r="AC98" s="773" t="str">
        <f t="shared" si="101"/>
        <v>A</v>
      </c>
      <c r="AD98" s="876"/>
      <c r="AE98" s="863"/>
      <c r="AF98" s="870"/>
      <c r="AG98" s="1019"/>
      <c r="AH98" s="802"/>
      <c r="AI98" s="803"/>
    </row>
    <row r="99" spans="1:51" hidden="1" outlineLevel="1" x14ac:dyDescent="0.3">
      <c r="A99" s="159"/>
      <c r="B99" s="1191"/>
      <c r="C99" s="735" t="str">
        <f>'Optimalizačné opatrenia'!$B$8</f>
        <v>Bezpečnosť</v>
      </c>
      <c r="D99" s="788" t="s">
        <v>542</v>
      </c>
      <c r="E99" s="773" t="s">
        <v>542</v>
      </c>
      <c r="F99" s="773" t="s">
        <v>542</v>
      </c>
      <c r="G99" s="773" t="str">
        <f t="shared" si="89"/>
        <v>A</v>
      </c>
      <c r="H99" s="773"/>
      <c r="I99" s="773"/>
      <c r="J99" s="773"/>
      <c r="K99" s="773"/>
      <c r="L99" s="773" t="str">
        <f t="shared" si="90"/>
        <v>A</v>
      </c>
      <c r="M99" s="773" t="str">
        <f t="shared" si="91"/>
        <v>A</v>
      </c>
      <c r="N99" s="773" t="s">
        <v>542</v>
      </c>
      <c r="O99" s="773"/>
      <c r="P99" s="773" t="str">
        <f t="shared" si="92"/>
        <v>A</v>
      </c>
      <c r="Q99" s="773" t="str">
        <f t="shared" si="92"/>
        <v>A</v>
      </c>
      <c r="R99" s="773" t="str">
        <f t="shared" si="92"/>
        <v>A</v>
      </c>
      <c r="S99" s="773" t="str">
        <f t="shared" si="93"/>
        <v>A</v>
      </c>
      <c r="T99" s="773" t="str">
        <f t="shared" si="94"/>
        <v>A</v>
      </c>
      <c r="U99" s="773" t="str">
        <f t="shared" si="95"/>
        <v>A</v>
      </c>
      <c r="V99" s="773" t="str">
        <f t="shared" si="96"/>
        <v>A</v>
      </c>
      <c r="W99" s="773" t="str">
        <f t="shared" si="96"/>
        <v>A</v>
      </c>
      <c r="X99" s="773" t="str">
        <f t="shared" si="96"/>
        <v>A</v>
      </c>
      <c r="Y99" s="773" t="str">
        <f t="shared" si="97"/>
        <v>A</v>
      </c>
      <c r="Z99" s="773" t="str">
        <f t="shared" si="98"/>
        <v>A</v>
      </c>
      <c r="AA99" s="773" t="str">
        <f t="shared" si="99"/>
        <v>A</v>
      </c>
      <c r="AB99" s="773" t="str">
        <f t="shared" si="100"/>
        <v>A</v>
      </c>
      <c r="AC99" s="773" t="str">
        <f t="shared" si="101"/>
        <v>A</v>
      </c>
      <c r="AD99" s="876"/>
      <c r="AE99" s="863"/>
      <c r="AF99" s="870"/>
      <c r="AG99" s="1019"/>
      <c r="AH99" s="802"/>
      <c r="AI99" s="803"/>
    </row>
    <row r="100" spans="1:51" hidden="1" outlineLevel="1" x14ac:dyDescent="0.3">
      <c r="A100" s="159"/>
      <c r="B100" s="1191"/>
      <c r="C100" s="735" t="str">
        <f>'Optimalizačné opatrenia'!$B$9</f>
        <v>Auditovateľnosť</v>
      </c>
      <c r="D100" s="788" t="s">
        <v>542</v>
      </c>
      <c r="E100" s="773" t="s">
        <v>542</v>
      </c>
      <c r="F100" s="773" t="s">
        <v>542</v>
      </c>
      <c r="G100" s="773" t="str">
        <f t="shared" si="89"/>
        <v>A</v>
      </c>
      <c r="H100" s="773"/>
      <c r="I100" s="773"/>
      <c r="J100" s="773"/>
      <c r="K100" s="773"/>
      <c r="L100" s="773" t="str">
        <f t="shared" si="90"/>
        <v>A</v>
      </c>
      <c r="M100" s="773" t="str">
        <f t="shared" si="91"/>
        <v>A</v>
      </c>
      <c r="N100" s="773" t="s">
        <v>542</v>
      </c>
      <c r="O100" s="773"/>
      <c r="P100" s="773" t="str">
        <f t="shared" si="92"/>
        <v>A</v>
      </c>
      <c r="Q100" s="773" t="str">
        <f t="shared" si="92"/>
        <v>A</v>
      </c>
      <c r="R100" s="773" t="str">
        <f t="shared" si="92"/>
        <v>A</v>
      </c>
      <c r="S100" s="773" t="str">
        <f t="shared" si="93"/>
        <v>A</v>
      </c>
      <c r="T100" s="773" t="str">
        <f t="shared" si="94"/>
        <v>A</v>
      </c>
      <c r="U100" s="773" t="str">
        <f t="shared" si="95"/>
        <v>A</v>
      </c>
      <c r="V100" s="773" t="str">
        <f t="shared" si="96"/>
        <v>A</v>
      </c>
      <c r="W100" s="773" t="str">
        <f t="shared" si="96"/>
        <v>A</v>
      </c>
      <c r="X100" s="773" t="str">
        <f t="shared" si="96"/>
        <v>A</v>
      </c>
      <c r="Y100" s="773" t="str">
        <f t="shared" si="97"/>
        <v>A</v>
      </c>
      <c r="Z100" s="773" t="str">
        <f t="shared" si="98"/>
        <v>A</v>
      </c>
      <c r="AA100" s="773" t="str">
        <f t="shared" si="99"/>
        <v>A</v>
      </c>
      <c r="AB100" s="773" t="str">
        <f t="shared" si="100"/>
        <v>A</v>
      </c>
      <c r="AC100" s="773" t="str">
        <f t="shared" si="101"/>
        <v>A</v>
      </c>
      <c r="AD100" s="876"/>
      <c r="AE100" s="863"/>
      <c r="AF100" s="870"/>
      <c r="AG100" s="1019"/>
      <c r="AH100" s="802"/>
      <c r="AI100" s="803"/>
    </row>
    <row r="101" spans="1:51" hidden="1" outlineLevel="1" x14ac:dyDescent="0.3">
      <c r="A101" s="159"/>
      <c r="B101" s="1191"/>
      <c r="C101" s="735" t="str">
        <f>'Optimalizačné opatrenia'!$B$10</f>
        <v>Transparentnosť</v>
      </c>
      <c r="D101" s="788" t="s">
        <v>542</v>
      </c>
      <c r="E101" s="773" t="s">
        <v>542</v>
      </c>
      <c r="F101" s="773" t="s">
        <v>542</v>
      </c>
      <c r="G101" s="773" t="str">
        <f t="shared" si="89"/>
        <v>N</v>
      </c>
      <c r="H101" s="773"/>
      <c r="I101" s="773"/>
      <c r="J101" s="773"/>
      <c r="K101" s="773"/>
      <c r="L101" s="773" t="str">
        <f t="shared" si="90"/>
        <v>N</v>
      </c>
      <c r="M101" s="773" t="str">
        <f t="shared" si="91"/>
        <v>N</v>
      </c>
      <c r="N101" s="773" t="s">
        <v>542</v>
      </c>
      <c r="O101" s="773"/>
      <c r="P101" s="773" t="str">
        <f t="shared" si="92"/>
        <v>A</v>
      </c>
      <c r="Q101" s="773" t="str">
        <f t="shared" si="92"/>
        <v>N</v>
      </c>
      <c r="R101" s="773" t="str">
        <f t="shared" si="92"/>
        <v>N</v>
      </c>
      <c r="S101" s="773" t="str">
        <f t="shared" si="93"/>
        <v>N</v>
      </c>
      <c r="T101" s="773" t="str">
        <f t="shared" si="94"/>
        <v>N</v>
      </c>
      <c r="U101" s="773" t="str">
        <f t="shared" si="95"/>
        <v>N</v>
      </c>
      <c r="V101" s="773" t="str">
        <f t="shared" si="96"/>
        <v>A</v>
      </c>
      <c r="W101" s="773" t="str">
        <f t="shared" si="96"/>
        <v>N</v>
      </c>
      <c r="X101" s="773" t="str">
        <f t="shared" si="96"/>
        <v>N</v>
      </c>
      <c r="Y101" s="773" t="str">
        <f t="shared" si="97"/>
        <v>N</v>
      </c>
      <c r="Z101" s="773" t="str">
        <f t="shared" si="98"/>
        <v>N</v>
      </c>
      <c r="AA101" s="773" t="str">
        <f t="shared" si="99"/>
        <v>A</v>
      </c>
      <c r="AB101" s="773" t="str">
        <f t="shared" si="100"/>
        <v>N</v>
      </c>
      <c r="AC101" s="773" t="str">
        <f t="shared" si="101"/>
        <v>N</v>
      </c>
      <c r="AD101" s="876"/>
      <c r="AE101" s="863"/>
      <c r="AF101" s="870"/>
      <c r="AG101" s="1019"/>
      <c r="AH101" s="802"/>
      <c r="AI101" s="803"/>
    </row>
    <row r="102" spans="1:51" hidden="1" outlineLevel="1" x14ac:dyDescent="0.3">
      <c r="A102" s="159"/>
      <c r="B102" s="1191"/>
      <c r="C102" s="735" t="str">
        <f>'Optimalizačné opatrenia'!$B$11</f>
        <v>Analyzovatelnosť</v>
      </c>
      <c r="D102" s="788" t="s">
        <v>542</v>
      </c>
      <c r="E102" s="773" t="s">
        <v>542</v>
      </c>
      <c r="F102" s="773" t="s">
        <v>542</v>
      </c>
      <c r="G102" s="773" t="str">
        <f t="shared" si="89"/>
        <v>A</v>
      </c>
      <c r="H102" s="773"/>
      <c r="I102" s="773"/>
      <c r="J102" s="773"/>
      <c r="K102" s="773"/>
      <c r="L102" s="773" t="str">
        <f t="shared" si="90"/>
        <v>A</v>
      </c>
      <c r="M102" s="773" t="str">
        <f t="shared" si="91"/>
        <v>A</v>
      </c>
      <c r="N102" s="773" t="s">
        <v>542</v>
      </c>
      <c r="O102" s="773"/>
      <c r="P102" s="773" t="str">
        <f t="shared" si="92"/>
        <v>A</v>
      </c>
      <c r="Q102" s="773" t="str">
        <f t="shared" si="92"/>
        <v>A</v>
      </c>
      <c r="R102" s="773" t="str">
        <f t="shared" si="92"/>
        <v>A</v>
      </c>
      <c r="S102" s="773" t="str">
        <f t="shared" si="93"/>
        <v>A</v>
      </c>
      <c r="T102" s="773" t="str">
        <f t="shared" si="94"/>
        <v>A</v>
      </c>
      <c r="U102" s="773" t="str">
        <f t="shared" si="95"/>
        <v>A</v>
      </c>
      <c r="V102" s="773" t="str">
        <f t="shared" si="96"/>
        <v>A</v>
      </c>
      <c r="W102" s="773" t="str">
        <f t="shared" si="96"/>
        <v>A</v>
      </c>
      <c r="X102" s="773" t="str">
        <f t="shared" si="96"/>
        <v>A</v>
      </c>
      <c r="Y102" s="773" t="str">
        <f t="shared" si="97"/>
        <v>A</v>
      </c>
      <c r="Z102" s="773" t="str">
        <f t="shared" si="98"/>
        <v>A</v>
      </c>
      <c r="AA102" s="773" t="str">
        <f t="shared" si="99"/>
        <v>A</v>
      </c>
      <c r="AB102" s="773" t="str">
        <f t="shared" si="100"/>
        <v>A</v>
      </c>
      <c r="AC102" s="773" t="str">
        <f t="shared" si="101"/>
        <v>A</v>
      </c>
      <c r="AD102" s="876"/>
      <c r="AE102" s="863"/>
      <c r="AF102" s="870"/>
      <c r="AG102" s="1019"/>
      <c r="AH102" s="802"/>
      <c r="AI102" s="803"/>
    </row>
    <row r="103" spans="1:51" hidden="1" outlineLevel="1" x14ac:dyDescent="0.3">
      <c r="A103" s="159"/>
      <c r="B103" s="1191"/>
      <c r="C103" s="735" t="str">
        <f>'Optimalizačné opatrenia'!$B$12</f>
        <v>Integrácia</v>
      </c>
      <c r="D103" s="788" t="s">
        <v>542</v>
      </c>
      <c r="E103" s="773" t="s">
        <v>542</v>
      </c>
      <c r="F103" s="773" t="s">
        <v>542</v>
      </c>
      <c r="G103" s="773" t="str">
        <f t="shared" si="89"/>
        <v>A</v>
      </c>
      <c r="H103" s="773"/>
      <c r="I103" s="773"/>
      <c r="J103" s="773"/>
      <c r="K103" s="773"/>
      <c r="L103" s="773" t="str">
        <f t="shared" si="90"/>
        <v>A</v>
      </c>
      <c r="M103" s="773" t="str">
        <f t="shared" si="91"/>
        <v>A</v>
      </c>
      <c r="N103" s="773" t="s">
        <v>542</v>
      </c>
      <c r="O103" s="773"/>
      <c r="P103" s="773" t="str">
        <f t="shared" si="92"/>
        <v>A</v>
      </c>
      <c r="Q103" s="773" t="str">
        <f t="shared" si="92"/>
        <v>A</v>
      </c>
      <c r="R103" s="773" t="str">
        <f t="shared" si="92"/>
        <v>A</v>
      </c>
      <c r="S103" s="773" t="str">
        <f t="shared" si="93"/>
        <v>A</v>
      </c>
      <c r="T103" s="773" t="str">
        <f t="shared" si="94"/>
        <v>A</v>
      </c>
      <c r="U103" s="773" t="str">
        <f t="shared" si="95"/>
        <v>A</v>
      </c>
      <c r="V103" s="773" t="str">
        <f t="shared" si="96"/>
        <v>A</v>
      </c>
      <c r="W103" s="773" t="str">
        <f t="shared" si="96"/>
        <v>A</v>
      </c>
      <c r="X103" s="773" t="str">
        <f t="shared" si="96"/>
        <v>A</v>
      </c>
      <c r="Y103" s="773" t="str">
        <f t="shared" si="97"/>
        <v>A</v>
      </c>
      <c r="Z103" s="773" t="str">
        <f t="shared" si="98"/>
        <v>A</v>
      </c>
      <c r="AA103" s="773" t="str">
        <f t="shared" si="99"/>
        <v>A</v>
      </c>
      <c r="AB103" s="773" t="str">
        <f t="shared" si="100"/>
        <v>A</v>
      </c>
      <c r="AC103" s="773" t="str">
        <f t="shared" si="101"/>
        <v>A</v>
      </c>
      <c r="AD103" s="876"/>
      <c r="AE103" s="863"/>
      <c r="AF103" s="870"/>
      <c r="AG103" s="1019"/>
      <c r="AH103" s="802"/>
      <c r="AI103" s="803"/>
    </row>
    <row r="104" spans="1:51" hidden="1" outlineLevel="1" x14ac:dyDescent="0.3">
      <c r="A104" s="159"/>
      <c r="B104" s="1191"/>
      <c r="C104" s="740" t="str">
        <f>'Optimalizačné opatrenia'!$B$13</f>
        <v>Proaktivita</v>
      </c>
      <c r="D104" s="788" t="s">
        <v>542</v>
      </c>
      <c r="E104" s="773" t="s">
        <v>542</v>
      </c>
      <c r="F104" s="773" t="s">
        <v>542</v>
      </c>
      <c r="G104" s="773" t="str">
        <f t="shared" si="89"/>
        <v>N</v>
      </c>
      <c r="H104" s="773"/>
      <c r="I104" s="773"/>
      <c r="J104" s="773"/>
      <c r="K104" s="773"/>
      <c r="L104" s="773" t="str">
        <f t="shared" si="90"/>
        <v>A</v>
      </c>
      <c r="M104" s="773" t="str">
        <f t="shared" si="91"/>
        <v>N</v>
      </c>
      <c r="N104" s="773" t="s">
        <v>542</v>
      </c>
      <c r="O104" s="773"/>
      <c r="P104" s="773" t="str">
        <f t="shared" si="92"/>
        <v>N</v>
      </c>
      <c r="Q104" s="773" t="str">
        <f t="shared" si="92"/>
        <v>N</v>
      </c>
      <c r="R104" s="773" t="str">
        <f t="shared" si="92"/>
        <v>A</v>
      </c>
      <c r="S104" s="773" t="str">
        <f t="shared" si="93"/>
        <v>A</v>
      </c>
      <c r="T104" s="773" t="str">
        <f t="shared" si="94"/>
        <v>A</v>
      </c>
      <c r="U104" s="773" t="str">
        <f t="shared" si="95"/>
        <v>N</v>
      </c>
      <c r="V104" s="773" t="str">
        <f t="shared" si="96"/>
        <v>A</v>
      </c>
      <c r="W104" s="773" t="str">
        <f t="shared" si="96"/>
        <v>N</v>
      </c>
      <c r="X104" s="773" t="str">
        <f t="shared" si="96"/>
        <v>N</v>
      </c>
      <c r="Y104" s="773" t="str">
        <f t="shared" si="97"/>
        <v>A</v>
      </c>
      <c r="Z104" s="773" t="str">
        <f t="shared" si="98"/>
        <v>A</v>
      </c>
      <c r="AA104" s="773" t="str">
        <f t="shared" si="99"/>
        <v>A</v>
      </c>
      <c r="AB104" s="773" t="str">
        <f t="shared" si="100"/>
        <v>N</v>
      </c>
      <c r="AC104" s="773" t="str">
        <f t="shared" si="101"/>
        <v>A</v>
      </c>
      <c r="AD104" s="876"/>
      <c r="AE104" s="863"/>
      <c r="AF104" s="870"/>
      <c r="AG104" s="1019"/>
      <c r="AH104" s="802"/>
      <c r="AI104" s="803"/>
    </row>
    <row r="105" spans="1:51" hidden="1" outlineLevel="1" x14ac:dyDescent="0.3">
      <c r="A105" s="159"/>
      <c r="B105" s="790"/>
      <c r="C105" s="792" t="s">
        <v>550</v>
      </c>
      <c r="D105" s="793">
        <v>0</v>
      </c>
      <c r="E105" s="791">
        <v>0</v>
      </c>
      <c r="F105" s="794">
        <v>0</v>
      </c>
      <c r="G105" s="794">
        <f t="shared" si="89"/>
        <v>0.3</v>
      </c>
      <c r="H105" s="794"/>
      <c r="I105" s="794"/>
      <c r="J105" s="794"/>
      <c r="K105" s="794"/>
      <c r="L105" s="794">
        <f t="shared" si="90"/>
        <v>0.4</v>
      </c>
      <c r="M105" s="794">
        <f t="shared" si="91"/>
        <v>0.3</v>
      </c>
      <c r="N105" s="794">
        <v>0</v>
      </c>
      <c r="O105" s="794"/>
      <c r="P105" s="794">
        <f t="shared" si="92"/>
        <v>0.45</v>
      </c>
      <c r="Q105" s="794">
        <f t="shared" si="92"/>
        <v>0.3</v>
      </c>
      <c r="R105" s="794">
        <f t="shared" si="92"/>
        <v>0.4</v>
      </c>
      <c r="S105" s="794">
        <f t="shared" si="93"/>
        <v>0.4</v>
      </c>
      <c r="T105" s="794">
        <f t="shared" si="94"/>
        <v>0.4</v>
      </c>
      <c r="U105" s="794">
        <f t="shared" si="95"/>
        <v>0.3</v>
      </c>
      <c r="V105" s="794">
        <f t="shared" si="96"/>
        <v>0.5</v>
      </c>
      <c r="W105" s="794">
        <f t="shared" si="96"/>
        <v>0.3</v>
      </c>
      <c r="X105" s="794">
        <f t="shared" si="96"/>
        <v>0.3</v>
      </c>
      <c r="Y105" s="794">
        <f t="shared" si="97"/>
        <v>0.4</v>
      </c>
      <c r="Z105" s="794">
        <f t="shared" si="98"/>
        <v>0.4</v>
      </c>
      <c r="AA105" s="794">
        <f t="shared" si="99"/>
        <v>0.5</v>
      </c>
      <c r="AB105" s="794">
        <f t="shared" si="100"/>
        <v>0.3</v>
      </c>
      <c r="AC105" s="794">
        <f t="shared" si="101"/>
        <v>0.4</v>
      </c>
      <c r="AD105" s="877"/>
      <c r="AE105" s="864"/>
      <c r="AF105" s="871"/>
      <c r="AG105" s="1020"/>
      <c r="AH105" s="805"/>
      <c r="AI105" s="806"/>
    </row>
    <row r="106" spans="1:51" ht="66.599999999999994" customHeight="1" collapsed="1" x14ac:dyDescent="0.3">
      <c r="A106" s="159">
        <f ca="1">OFFSET(A106,-14,0)+1</f>
        <v>8</v>
      </c>
      <c r="B106" s="234" t="str">
        <f ca="1">'Procesy - AS IS'!B29</f>
        <v>Meranie č. 8</v>
      </c>
      <c r="C106" s="718" t="str">
        <f>'Procesy - AS IS'!C29</f>
        <v>TERMMING, a.s. Bratislava, Kotolňa Železničná - kotle na spaľovanie biomasy, 5809-24751/33/2018/Fia, Kontrola stredného zdroja, 5809-24751/33/2018/Fia</v>
      </c>
      <c r="D106" s="796">
        <f>-'Procesy - AS IS'!D31*D119</f>
        <v>0</v>
      </c>
      <c r="E106" s="721">
        <f>-'Procesy - AS IS'!E31*E119</f>
        <v>0</v>
      </c>
      <c r="F106" s="721">
        <f>-'Procesy - AS IS'!F31*F119</f>
        <v>0</v>
      </c>
      <c r="G106" s="721">
        <f>-'Procesy - AS IS'!G31*G119</f>
        <v>-2.4</v>
      </c>
      <c r="H106" s="721" t="s">
        <v>568</v>
      </c>
      <c r="I106" s="721" t="s">
        <v>568</v>
      </c>
      <c r="J106" s="721" t="s">
        <v>568</v>
      </c>
      <c r="K106" s="721" t="s">
        <v>568</v>
      </c>
      <c r="L106" s="721">
        <f>-'Procesy - AS IS'!L31*L119</f>
        <v>-0.1</v>
      </c>
      <c r="M106" s="721">
        <f>-'Procesy - AS IS'!M31*M119</f>
        <v>-0.89999999999999991</v>
      </c>
      <c r="N106" s="721">
        <f>-'Procesy - AS IS'!N31*N119</f>
        <v>0</v>
      </c>
      <c r="O106" s="721" t="s">
        <v>572</v>
      </c>
      <c r="P106" s="721">
        <f>-'Procesy - AS IS'!P31*P119</f>
        <v>-0.45</v>
      </c>
      <c r="Q106" s="721">
        <f>-'Procesy - AS IS'!Q31*Q119</f>
        <v>0</v>
      </c>
      <c r="R106" s="721">
        <f>-'Procesy - AS IS'!R31*R119</f>
        <v>-3.6363636363636362</v>
      </c>
      <c r="S106" s="721">
        <f>-'Procesy - AS IS'!S31*S119</f>
        <v>-6.7636363636363646</v>
      </c>
      <c r="T106" s="721">
        <f>-'Procesy - AS IS'!T31*T119</f>
        <v>-1.118881118881119</v>
      </c>
      <c r="U106" s="721">
        <f>-'Procesy - AS IS'!U31*U119</f>
        <v>-1.560839160839161</v>
      </c>
      <c r="V106" s="721">
        <f>-'Procesy - AS IS'!V31*V119</f>
        <v>-0.25</v>
      </c>
      <c r="W106" s="721">
        <f>-'Procesy - AS IS'!W31*W119</f>
        <v>-0.1888111888111888</v>
      </c>
      <c r="X106" s="721">
        <f>-'Procesy - AS IS'!X31*X119</f>
        <v>0</v>
      </c>
      <c r="Y106" s="721">
        <f>-'Procesy - AS IS'!Y31*Y119</f>
        <v>-2.0139860139860142</v>
      </c>
      <c r="Z106" s="721">
        <f>-'Procesy - AS IS'!Z31*Z119</f>
        <v>-1.9580419580419582E-2</v>
      </c>
      <c r="AA106" s="721">
        <f>-'Procesy - AS IS'!AA31*AA119</f>
        <v>-4.8951048951048952E-2</v>
      </c>
      <c r="AB106" s="721">
        <f>-'Procesy - AS IS'!AB31*AB119</f>
        <v>-0.2937062937062937</v>
      </c>
      <c r="AC106" s="721">
        <f>-'Procesy - AS IS'!AC31*AC119</f>
        <v>-0.78321678321678334</v>
      </c>
      <c r="AD106" s="824">
        <f>SUM(D106:AC106)</f>
        <v>-20.527972027972027</v>
      </c>
      <c r="AE106" s="798">
        <f>AD106/'Procesy - AS IS'!AD31</f>
        <v>-0.36988502126319106</v>
      </c>
      <c r="AF106" s="869">
        <f>('Procesy - AS IS'!AG31/(1+$AE106)-'Procesy - AS IS'!AG31)/2</f>
        <v>41.971354296855466</v>
      </c>
      <c r="AG106" s="1018">
        <f>('Procesy - AS IS'!AH31/(1+$AE106)-'Procesy - AS IS'!AH31)/2</f>
        <v>14.675298705194216</v>
      </c>
      <c r="AH106" s="800">
        <f>('Procesy - AS IS'!AI31/(1+$AE106)-'Procesy - AS IS'!AI31)/2</f>
        <v>13.207768834674795</v>
      </c>
      <c r="AI106" s="801">
        <f>('Procesy - AS IS'!AJ31/(1+$AE106)-'Procesy - AS IS'!AJ31)/2</f>
        <v>2.0545418187271904</v>
      </c>
      <c r="AK106" s="232"/>
      <c r="AY106" s="227"/>
    </row>
    <row r="107" spans="1:51" hidden="1" outlineLevel="1" x14ac:dyDescent="0.3">
      <c r="A107" s="159"/>
      <c r="B107" s="1190" t="s">
        <v>540</v>
      </c>
      <c r="C107" s="735" t="str">
        <f>'Optimalizačné opatrenia'!$B$2</f>
        <v>Modernizácia</v>
      </c>
      <c r="D107" s="741" t="s">
        <v>542</v>
      </c>
      <c r="E107" s="742" t="s">
        <v>542</v>
      </c>
      <c r="F107" s="773" t="s">
        <v>542</v>
      </c>
      <c r="G107" s="773" t="str">
        <f t="shared" ref="G107:G118" si="102">G93</f>
        <v>A</v>
      </c>
      <c r="H107" s="773"/>
      <c r="I107" s="773"/>
      <c r="J107" s="773"/>
      <c r="K107" s="773"/>
      <c r="L107" s="773" t="str">
        <f t="shared" ref="L107:M118" si="103">L93</f>
        <v>A</v>
      </c>
      <c r="M107" s="773" t="str">
        <f t="shared" si="103"/>
        <v>A</v>
      </c>
      <c r="N107" s="773" t="s">
        <v>542</v>
      </c>
      <c r="O107" s="773"/>
      <c r="P107" s="773" t="str">
        <f t="shared" ref="P107:R118" si="104">P93</f>
        <v>A</v>
      </c>
      <c r="Q107" s="773" t="str">
        <f t="shared" si="104"/>
        <v>A</v>
      </c>
      <c r="R107" s="773" t="str">
        <f t="shared" si="104"/>
        <v>A</v>
      </c>
      <c r="S107" s="773" t="str">
        <f t="shared" ref="S107:S119" si="105">R107</f>
        <v>A</v>
      </c>
      <c r="T107" s="773" t="str">
        <f t="shared" ref="T107:T119" si="106">R107</f>
        <v>A</v>
      </c>
      <c r="U107" s="773" t="str">
        <f t="shared" ref="U107:U119" si="107">G107</f>
        <v>A</v>
      </c>
      <c r="V107" s="773" t="str">
        <f t="shared" ref="V107:V118" si="108">V93</f>
        <v>A</v>
      </c>
      <c r="W107" s="773" t="str">
        <f t="shared" ref="W107:W119" si="109">W7</f>
        <v>A</v>
      </c>
      <c r="X107" s="773" t="str">
        <f t="shared" ref="X107:X119" si="110">G107</f>
        <v>A</v>
      </c>
      <c r="Y107" s="773" t="str">
        <f t="shared" ref="Y107:Y119" si="111">R107</f>
        <v>A</v>
      </c>
      <c r="Z107" s="773" t="str">
        <f t="shared" ref="Z107:Z119" si="112">R107</f>
        <v>A</v>
      </c>
      <c r="AA107" s="773" t="str">
        <f t="shared" ref="AA107:AA119" si="113">$V107</f>
        <v>A</v>
      </c>
      <c r="AB107" s="773" t="str">
        <f t="shared" ref="AB107:AB119" si="114">G107</f>
        <v>A</v>
      </c>
      <c r="AC107" s="773" t="str">
        <f t="shared" ref="AC107:AC119" si="115">R107</f>
        <v>A</v>
      </c>
      <c r="AD107" s="876"/>
      <c r="AE107" s="863"/>
      <c r="AF107" s="870"/>
      <c r="AG107" s="1019"/>
      <c r="AH107" s="802"/>
      <c r="AI107" s="803"/>
    </row>
    <row r="108" spans="1:51" hidden="1" outlineLevel="1" x14ac:dyDescent="0.3">
      <c r="A108" s="159"/>
      <c r="B108" s="1191"/>
      <c r="C108" s="735" t="str">
        <f>'Optimalizačné opatrenia'!$B$3</f>
        <v>Sfunkčnenie</v>
      </c>
      <c r="D108" s="788" t="s">
        <v>542</v>
      </c>
      <c r="E108" s="773" t="s">
        <v>542</v>
      </c>
      <c r="F108" s="773" t="s">
        <v>542</v>
      </c>
      <c r="G108" s="773" t="str">
        <f t="shared" si="102"/>
        <v>N</v>
      </c>
      <c r="H108" s="773"/>
      <c r="I108" s="773"/>
      <c r="J108" s="773"/>
      <c r="K108" s="773"/>
      <c r="L108" s="773" t="str">
        <f t="shared" si="103"/>
        <v>N</v>
      </c>
      <c r="M108" s="773" t="str">
        <f t="shared" si="103"/>
        <v>N</v>
      </c>
      <c r="N108" s="773" t="s">
        <v>542</v>
      </c>
      <c r="O108" s="773"/>
      <c r="P108" s="773" t="str">
        <f t="shared" si="104"/>
        <v>N</v>
      </c>
      <c r="Q108" s="773" t="str">
        <f t="shared" si="104"/>
        <v>N</v>
      </c>
      <c r="R108" s="773" t="str">
        <f t="shared" si="104"/>
        <v>N</v>
      </c>
      <c r="S108" s="773" t="str">
        <f t="shared" si="105"/>
        <v>N</v>
      </c>
      <c r="T108" s="773" t="str">
        <f t="shared" si="106"/>
        <v>N</v>
      </c>
      <c r="U108" s="773" t="str">
        <f t="shared" si="107"/>
        <v>N</v>
      </c>
      <c r="V108" s="773" t="str">
        <f t="shared" si="108"/>
        <v>N</v>
      </c>
      <c r="W108" s="773" t="str">
        <f t="shared" si="109"/>
        <v>N</v>
      </c>
      <c r="X108" s="773" t="str">
        <f t="shared" si="110"/>
        <v>N</v>
      </c>
      <c r="Y108" s="773" t="str">
        <f t="shared" si="111"/>
        <v>N</v>
      </c>
      <c r="Z108" s="773" t="str">
        <f t="shared" si="112"/>
        <v>N</v>
      </c>
      <c r="AA108" s="773" t="str">
        <f t="shared" si="113"/>
        <v>N</v>
      </c>
      <c r="AB108" s="773" t="str">
        <f t="shared" si="114"/>
        <v>N</v>
      </c>
      <c r="AC108" s="773" t="str">
        <f t="shared" si="115"/>
        <v>N</v>
      </c>
      <c r="AD108" s="876"/>
      <c r="AE108" s="863"/>
      <c r="AF108" s="870"/>
      <c r="AG108" s="1019"/>
      <c r="AH108" s="802"/>
      <c r="AI108" s="803"/>
    </row>
    <row r="109" spans="1:51" hidden="1" outlineLevel="1" x14ac:dyDescent="0.3">
      <c r="A109" s="159"/>
      <c r="B109" s="1191"/>
      <c r="C109" s="735" t="str">
        <f>'Optimalizačné opatrenia'!$B$4</f>
        <v>Zjednotenie</v>
      </c>
      <c r="D109" s="788" t="s">
        <v>542</v>
      </c>
      <c r="E109" s="773" t="s">
        <v>542</v>
      </c>
      <c r="F109" s="773" t="s">
        <v>542</v>
      </c>
      <c r="G109" s="773" t="str">
        <f t="shared" si="102"/>
        <v>A</v>
      </c>
      <c r="H109" s="773"/>
      <c r="I109" s="773"/>
      <c r="J109" s="773"/>
      <c r="K109" s="773"/>
      <c r="L109" s="773" t="str">
        <f t="shared" si="103"/>
        <v>A</v>
      </c>
      <c r="M109" s="773" t="str">
        <f t="shared" si="103"/>
        <v>A</v>
      </c>
      <c r="N109" s="773" t="s">
        <v>542</v>
      </c>
      <c r="O109" s="773"/>
      <c r="P109" s="773" t="str">
        <f t="shared" si="104"/>
        <v>A</v>
      </c>
      <c r="Q109" s="773" t="str">
        <f t="shared" si="104"/>
        <v>A</v>
      </c>
      <c r="R109" s="773" t="str">
        <f t="shared" si="104"/>
        <v>A</v>
      </c>
      <c r="S109" s="773" t="str">
        <f t="shared" si="105"/>
        <v>A</v>
      </c>
      <c r="T109" s="773" t="str">
        <f t="shared" si="106"/>
        <v>A</v>
      </c>
      <c r="U109" s="773" t="str">
        <f t="shared" si="107"/>
        <v>A</v>
      </c>
      <c r="V109" s="773" t="str">
        <f t="shared" si="108"/>
        <v>A</v>
      </c>
      <c r="W109" s="773" t="str">
        <f t="shared" si="109"/>
        <v>A</v>
      </c>
      <c r="X109" s="773" t="str">
        <f t="shared" si="110"/>
        <v>A</v>
      </c>
      <c r="Y109" s="773" t="str">
        <f t="shared" si="111"/>
        <v>A</v>
      </c>
      <c r="Z109" s="773" t="str">
        <f t="shared" si="112"/>
        <v>A</v>
      </c>
      <c r="AA109" s="773" t="str">
        <f t="shared" si="113"/>
        <v>A</v>
      </c>
      <c r="AB109" s="773" t="str">
        <f t="shared" si="114"/>
        <v>A</v>
      </c>
      <c r="AC109" s="773" t="str">
        <f t="shared" si="115"/>
        <v>A</v>
      </c>
      <c r="AD109" s="876"/>
      <c r="AE109" s="863"/>
      <c r="AF109" s="870"/>
      <c r="AG109" s="1019"/>
      <c r="AH109" s="802"/>
      <c r="AI109" s="803"/>
    </row>
    <row r="110" spans="1:51" hidden="1" outlineLevel="1" x14ac:dyDescent="0.3">
      <c r="A110" s="159"/>
      <c r="B110" s="1191"/>
      <c r="C110" s="735" t="str">
        <f>'Optimalizačné opatrenia'!$B$5</f>
        <v>Centralizácia</v>
      </c>
      <c r="D110" s="788" t="s">
        <v>542</v>
      </c>
      <c r="E110" s="773" t="s">
        <v>542</v>
      </c>
      <c r="F110" s="773" t="s">
        <v>542</v>
      </c>
      <c r="G110" s="773" t="str">
        <f t="shared" si="102"/>
        <v>A</v>
      </c>
      <c r="H110" s="773"/>
      <c r="I110" s="773"/>
      <c r="J110" s="773"/>
      <c r="K110" s="773"/>
      <c r="L110" s="773" t="str">
        <f t="shared" si="103"/>
        <v>A</v>
      </c>
      <c r="M110" s="773" t="str">
        <f t="shared" si="103"/>
        <v>A</v>
      </c>
      <c r="N110" s="773" t="s">
        <v>542</v>
      </c>
      <c r="O110" s="773"/>
      <c r="P110" s="773" t="str">
        <f t="shared" si="104"/>
        <v>A</v>
      </c>
      <c r="Q110" s="773" t="str">
        <f t="shared" si="104"/>
        <v>A</v>
      </c>
      <c r="R110" s="773" t="str">
        <f t="shared" si="104"/>
        <v>A</v>
      </c>
      <c r="S110" s="773" t="str">
        <f t="shared" si="105"/>
        <v>A</v>
      </c>
      <c r="T110" s="773" t="str">
        <f t="shared" si="106"/>
        <v>A</v>
      </c>
      <c r="U110" s="773" t="str">
        <f t="shared" si="107"/>
        <v>A</v>
      </c>
      <c r="V110" s="773" t="str">
        <f t="shared" si="108"/>
        <v>A</v>
      </c>
      <c r="W110" s="773" t="str">
        <f t="shared" si="109"/>
        <v>A</v>
      </c>
      <c r="X110" s="773" t="str">
        <f t="shared" si="110"/>
        <v>A</v>
      </c>
      <c r="Y110" s="773" t="str">
        <f t="shared" si="111"/>
        <v>A</v>
      </c>
      <c r="Z110" s="773" t="str">
        <f t="shared" si="112"/>
        <v>A</v>
      </c>
      <c r="AA110" s="773" t="str">
        <f t="shared" si="113"/>
        <v>A</v>
      </c>
      <c r="AB110" s="773" t="str">
        <f t="shared" si="114"/>
        <v>A</v>
      </c>
      <c r="AC110" s="773" t="str">
        <f t="shared" si="115"/>
        <v>A</v>
      </c>
      <c r="AD110" s="876"/>
      <c r="AE110" s="863"/>
      <c r="AF110" s="870"/>
      <c r="AG110" s="1019"/>
      <c r="AH110" s="802"/>
      <c r="AI110" s="803"/>
    </row>
    <row r="111" spans="1:51" hidden="1" outlineLevel="1" x14ac:dyDescent="0.3">
      <c r="A111" s="159"/>
      <c r="B111" s="1191"/>
      <c r="C111" s="735" t="str">
        <f>'Optimalizačné opatrenia'!$B$6</f>
        <v>Elektronizácia</v>
      </c>
      <c r="D111" s="788" t="s">
        <v>542</v>
      </c>
      <c r="E111" s="773" t="s">
        <v>542</v>
      </c>
      <c r="F111" s="773" t="s">
        <v>542</v>
      </c>
      <c r="G111" s="773" t="str">
        <f t="shared" si="102"/>
        <v>A</v>
      </c>
      <c r="H111" s="773"/>
      <c r="I111" s="773"/>
      <c r="J111" s="773"/>
      <c r="K111" s="773"/>
      <c r="L111" s="773" t="str">
        <f t="shared" si="103"/>
        <v>A</v>
      </c>
      <c r="M111" s="773" t="str">
        <f t="shared" si="103"/>
        <v>A</v>
      </c>
      <c r="N111" s="773" t="s">
        <v>542</v>
      </c>
      <c r="O111" s="773"/>
      <c r="P111" s="773" t="str">
        <f t="shared" si="104"/>
        <v>A</v>
      </c>
      <c r="Q111" s="773" t="str">
        <f t="shared" si="104"/>
        <v>A</v>
      </c>
      <c r="R111" s="773" t="str">
        <f t="shared" si="104"/>
        <v>A</v>
      </c>
      <c r="S111" s="773" t="str">
        <f t="shared" si="105"/>
        <v>A</v>
      </c>
      <c r="T111" s="773" t="str">
        <f t="shared" si="106"/>
        <v>A</v>
      </c>
      <c r="U111" s="773" t="str">
        <f t="shared" si="107"/>
        <v>A</v>
      </c>
      <c r="V111" s="773" t="str">
        <f t="shared" si="108"/>
        <v>A</v>
      </c>
      <c r="W111" s="773" t="str">
        <f t="shared" si="109"/>
        <v>A</v>
      </c>
      <c r="X111" s="773" t="str">
        <f t="shared" si="110"/>
        <v>A</v>
      </c>
      <c r="Y111" s="773" t="str">
        <f t="shared" si="111"/>
        <v>A</v>
      </c>
      <c r="Z111" s="773" t="str">
        <f t="shared" si="112"/>
        <v>A</v>
      </c>
      <c r="AA111" s="773" t="str">
        <f t="shared" si="113"/>
        <v>A</v>
      </c>
      <c r="AB111" s="773" t="str">
        <f t="shared" si="114"/>
        <v>A</v>
      </c>
      <c r="AC111" s="773" t="str">
        <f t="shared" si="115"/>
        <v>A</v>
      </c>
      <c r="AD111" s="876"/>
      <c r="AE111" s="863"/>
      <c r="AF111" s="870"/>
      <c r="AG111" s="1019"/>
      <c r="AH111" s="802"/>
      <c r="AI111" s="803"/>
    </row>
    <row r="112" spans="1:51" hidden="1" outlineLevel="1" x14ac:dyDescent="0.3">
      <c r="A112" s="159"/>
      <c r="B112" s="1191"/>
      <c r="C112" s="735" t="str">
        <f>'Optimalizačné opatrenia'!$B$7</f>
        <v>Automatizácia</v>
      </c>
      <c r="D112" s="788" t="s">
        <v>542</v>
      </c>
      <c r="E112" s="773" t="s">
        <v>542</v>
      </c>
      <c r="F112" s="773" t="s">
        <v>542</v>
      </c>
      <c r="G112" s="773" t="str">
        <f t="shared" si="102"/>
        <v>A</v>
      </c>
      <c r="H112" s="773"/>
      <c r="I112" s="773"/>
      <c r="J112" s="773"/>
      <c r="K112" s="773"/>
      <c r="L112" s="773" t="str">
        <f t="shared" si="103"/>
        <v>A</v>
      </c>
      <c r="M112" s="773" t="str">
        <f t="shared" si="103"/>
        <v>A</v>
      </c>
      <c r="N112" s="773" t="s">
        <v>542</v>
      </c>
      <c r="O112" s="773"/>
      <c r="P112" s="773" t="str">
        <f t="shared" si="104"/>
        <v>A</v>
      </c>
      <c r="Q112" s="773" t="str">
        <f t="shared" si="104"/>
        <v>A</v>
      </c>
      <c r="R112" s="773" t="str">
        <f t="shared" si="104"/>
        <v>A</v>
      </c>
      <c r="S112" s="773" t="str">
        <f t="shared" si="105"/>
        <v>A</v>
      </c>
      <c r="T112" s="773" t="str">
        <f t="shared" si="106"/>
        <v>A</v>
      </c>
      <c r="U112" s="773" t="str">
        <f t="shared" si="107"/>
        <v>A</v>
      </c>
      <c r="V112" s="773" t="str">
        <f t="shared" si="108"/>
        <v>A</v>
      </c>
      <c r="W112" s="773" t="str">
        <f t="shared" si="109"/>
        <v>A</v>
      </c>
      <c r="X112" s="773" t="str">
        <f t="shared" si="110"/>
        <v>A</v>
      </c>
      <c r="Y112" s="773" t="str">
        <f t="shared" si="111"/>
        <v>A</v>
      </c>
      <c r="Z112" s="773" t="str">
        <f t="shared" si="112"/>
        <v>A</v>
      </c>
      <c r="AA112" s="773" t="str">
        <f t="shared" si="113"/>
        <v>A</v>
      </c>
      <c r="AB112" s="773" t="str">
        <f t="shared" si="114"/>
        <v>A</v>
      </c>
      <c r="AC112" s="773" t="str">
        <f t="shared" si="115"/>
        <v>A</v>
      </c>
      <c r="AD112" s="876"/>
      <c r="AE112" s="863"/>
      <c r="AF112" s="870"/>
      <c r="AG112" s="1019"/>
      <c r="AH112" s="802"/>
      <c r="AI112" s="803"/>
    </row>
    <row r="113" spans="1:51" hidden="1" outlineLevel="1" x14ac:dyDescent="0.3">
      <c r="A113" s="159"/>
      <c r="B113" s="1191"/>
      <c r="C113" s="735" t="str">
        <f>'Optimalizačné opatrenia'!$B$8</f>
        <v>Bezpečnosť</v>
      </c>
      <c r="D113" s="788" t="s">
        <v>542</v>
      </c>
      <c r="E113" s="773" t="s">
        <v>542</v>
      </c>
      <c r="F113" s="773" t="s">
        <v>542</v>
      </c>
      <c r="G113" s="773" t="str">
        <f t="shared" si="102"/>
        <v>A</v>
      </c>
      <c r="H113" s="773"/>
      <c r="I113" s="773"/>
      <c r="J113" s="773"/>
      <c r="K113" s="773"/>
      <c r="L113" s="773" t="str">
        <f t="shared" si="103"/>
        <v>A</v>
      </c>
      <c r="M113" s="773" t="str">
        <f t="shared" si="103"/>
        <v>A</v>
      </c>
      <c r="N113" s="773" t="s">
        <v>542</v>
      </c>
      <c r="O113" s="773"/>
      <c r="P113" s="773" t="str">
        <f t="shared" si="104"/>
        <v>A</v>
      </c>
      <c r="Q113" s="773" t="str">
        <f t="shared" si="104"/>
        <v>A</v>
      </c>
      <c r="R113" s="773" t="str">
        <f t="shared" si="104"/>
        <v>A</v>
      </c>
      <c r="S113" s="773" t="str">
        <f t="shared" si="105"/>
        <v>A</v>
      </c>
      <c r="T113" s="773" t="str">
        <f t="shared" si="106"/>
        <v>A</v>
      </c>
      <c r="U113" s="773" t="str">
        <f t="shared" si="107"/>
        <v>A</v>
      </c>
      <c r="V113" s="773" t="str">
        <f t="shared" si="108"/>
        <v>A</v>
      </c>
      <c r="W113" s="773" t="str">
        <f t="shared" si="109"/>
        <v>A</v>
      </c>
      <c r="X113" s="773" t="str">
        <f t="shared" si="110"/>
        <v>A</v>
      </c>
      <c r="Y113" s="773" t="str">
        <f t="shared" si="111"/>
        <v>A</v>
      </c>
      <c r="Z113" s="773" t="str">
        <f t="shared" si="112"/>
        <v>A</v>
      </c>
      <c r="AA113" s="773" t="str">
        <f t="shared" si="113"/>
        <v>A</v>
      </c>
      <c r="AB113" s="773" t="str">
        <f t="shared" si="114"/>
        <v>A</v>
      </c>
      <c r="AC113" s="773" t="str">
        <f t="shared" si="115"/>
        <v>A</v>
      </c>
      <c r="AD113" s="876"/>
      <c r="AE113" s="863"/>
      <c r="AF113" s="870"/>
      <c r="AG113" s="1019"/>
      <c r="AH113" s="802"/>
      <c r="AI113" s="803"/>
    </row>
    <row r="114" spans="1:51" hidden="1" outlineLevel="1" x14ac:dyDescent="0.3">
      <c r="A114" s="159"/>
      <c r="B114" s="1191"/>
      <c r="C114" s="735" t="str">
        <f>'Optimalizačné opatrenia'!$B$9</f>
        <v>Auditovateľnosť</v>
      </c>
      <c r="D114" s="788" t="s">
        <v>542</v>
      </c>
      <c r="E114" s="773" t="s">
        <v>542</v>
      </c>
      <c r="F114" s="773" t="s">
        <v>542</v>
      </c>
      <c r="G114" s="773" t="str">
        <f t="shared" si="102"/>
        <v>A</v>
      </c>
      <c r="H114" s="773"/>
      <c r="I114" s="773"/>
      <c r="J114" s="773"/>
      <c r="K114" s="773"/>
      <c r="L114" s="773" t="str">
        <f t="shared" si="103"/>
        <v>A</v>
      </c>
      <c r="M114" s="773" t="str">
        <f t="shared" si="103"/>
        <v>A</v>
      </c>
      <c r="N114" s="773" t="s">
        <v>542</v>
      </c>
      <c r="O114" s="773"/>
      <c r="P114" s="773" t="str">
        <f t="shared" si="104"/>
        <v>A</v>
      </c>
      <c r="Q114" s="773" t="str">
        <f t="shared" si="104"/>
        <v>A</v>
      </c>
      <c r="R114" s="773" t="str">
        <f t="shared" si="104"/>
        <v>A</v>
      </c>
      <c r="S114" s="773" t="str">
        <f t="shared" si="105"/>
        <v>A</v>
      </c>
      <c r="T114" s="773" t="str">
        <f t="shared" si="106"/>
        <v>A</v>
      </c>
      <c r="U114" s="773" t="str">
        <f t="shared" si="107"/>
        <v>A</v>
      </c>
      <c r="V114" s="773" t="str">
        <f t="shared" si="108"/>
        <v>A</v>
      </c>
      <c r="W114" s="773" t="str">
        <f t="shared" si="109"/>
        <v>A</v>
      </c>
      <c r="X114" s="773" t="str">
        <f t="shared" si="110"/>
        <v>A</v>
      </c>
      <c r="Y114" s="773" t="str">
        <f t="shared" si="111"/>
        <v>A</v>
      </c>
      <c r="Z114" s="773" t="str">
        <f t="shared" si="112"/>
        <v>A</v>
      </c>
      <c r="AA114" s="773" t="str">
        <f t="shared" si="113"/>
        <v>A</v>
      </c>
      <c r="AB114" s="773" t="str">
        <f t="shared" si="114"/>
        <v>A</v>
      </c>
      <c r="AC114" s="773" t="str">
        <f t="shared" si="115"/>
        <v>A</v>
      </c>
      <c r="AD114" s="876"/>
      <c r="AE114" s="863"/>
      <c r="AF114" s="870"/>
      <c r="AG114" s="1019"/>
      <c r="AH114" s="802"/>
      <c r="AI114" s="803"/>
    </row>
    <row r="115" spans="1:51" hidden="1" outlineLevel="1" x14ac:dyDescent="0.3">
      <c r="A115" s="159"/>
      <c r="B115" s="1191"/>
      <c r="C115" s="735" t="str">
        <f>'Optimalizačné opatrenia'!$B$10</f>
        <v>Transparentnosť</v>
      </c>
      <c r="D115" s="788" t="s">
        <v>542</v>
      </c>
      <c r="E115" s="773" t="s">
        <v>542</v>
      </c>
      <c r="F115" s="773" t="s">
        <v>542</v>
      </c>
      <c r="G115" s="773" t="str">
        <f t="shared" si="102"/>
        <v>N</v>
      </c>
      <c r="H115" s="773"/>
      <c r="I115" s="773"/>
      <c r="J115" s="773"/>
      <c r="K115" s="773"/>
      <c r="L115" s="773" t="str">
        <f t="shared" si="103"/>
        <v>N</v>
      </c>
      <c r="M115" s="773" t="str">
        <f t="shared" si="103"/>
        <v>N</v>
      </c>
      <c r="N115" s="773" t="s">
        <v>542</v>
      </c>
      <c r="O115" s="773"/>
      <c r="P115" s="773" t="str">
        <f t="shared" si="104"/>
        <v>A</v>
      </c>
      <c r="Q115" s="773" t="str">
        <f t="shared" si="104"/>
        <v>N</v>
      </c>
      <c r="R115" s="773" t="str">
        <f t="shared" si="104"/>
        <v>N</v>
      </c>
      <c r="S115" s="773" t="str">
        <f t="shared" si="105"/>
        <v>N</v>
      </c>
      <c r="T115" s="773" t="str">
        <f t="shared" si="106"/>
        <v>N</v>
      </c>
      <c r="U115" s="773" t="str">
        <f t="shared" si="107"/>
        <v>N</v>
      </c>
      <c r="V115" s="773" t="str">
        <f t="shared" si="108"/>
        <v>A</v>
      </c>
      <c r="W115" s="773" t="str">
        <f t="shared" si="109"/>
        <v>N</v>
      </c>
      <c r="X115" s="773" t="str">
        <f t="shared" si="110"/>
        <v>N</v>
      </c>
      <c r="Y115" s="773" t="str">
        <f t="shared" si="111"/>
        <v>N</v>
      </c>
      <c r="Z115" s="773" t="str">
        <f t="shared" si="112"/>
        <v>N</v>
      </c>
      <c r="AA115" s="773" t="str">
        <f t="shared" si="113"/>
        <v>A</v>
      </c>
      <c r="AB115" s="773" t="str">
        <f t="shared" si="114"/>
        <v>N</v>
      </c>
      <c r="AC115" s="773" t="str">
        <f t="shared" si="115"/>
        <v>N</v>
      </c>
      <c r="AD115" s="876"/>
      <c r="AE115" s="863"/>
      <c r="AF115" s="870"/>
      <c r="AG115" s="1019"/>
      <c r="AH115" s="802"/>
      <c r="AI115" s="803"/>
    </row>
    <row r="116" spans="1:51" hidden="1" outlineLevel="1" x14ac:dyDescent="0.3">
      <c r="A116" s="159"/>
      <c r="B116" s="1191"/>
      <c r="C116" s="735" t="str">
        <f>'Optimalizačné opatrenia'!$B$11</f>
        <v>Analyzovatelnosť</v>
      </c>
      <c r="D116" s="788" t="s">
        <v>542</v>
      </c>
      <c r="E116" s="773" t="s">
        <v>542</v>
      </c>
      <c r="F116" s="773" t="s">
        <v>542</v>
      </c>
      <c r="G116" s="773" t="str">
        <f t="shared" si="102"/>
        <v>A</v>
      </c>
      <c r="H116" s="773"/>
      <c r="I116" s="773"/>
      <c r="J116" s="773"/>
      <c r="K116" s="773"/>
      <c r="L116" s="773" t="str">
        <f t="shared" si="103"/>
        <v>A</v>
      </c>
      <c r="M116" s="773" t="str">
        <f t="shared" si="103"/>
        <v>A</v>
      </c>
      <c r="N116" s="773" t="s">
        <v>542</v>
      </c>
      <c r="O116" s="773"/>
      <c r="P116" s="773" t="str">
        <f t="shared" si="104"/>
        <v>A</v>
      </c>
      <c r="Q116" s="773" t="str">
        <f t="shared" si="104"/>
        <v>A</v>
      </c>
      <c r="R116" s="773" t="str">
        <f t="shared" si="104"/>
        <v>A</v>
      </c>
      <c r="S116" s="773" t="str">
        <f t="shared" si="105"/>
        <v>A</v>
      </c>
      <c r="T116" s="773" t="str">
        <f t="shared" si="106"/>
        <v>A</v>
      </c>
      <c r="U116" s="773" t="str">
        <f t="shared" si="107"/>
        <v>A</v>
      </c>
      <c r="V116" s="773" t="str">
        <f t="shared" si="108"/>
        <v>A</v>
      </c>
      <c r="W116" s="773" t="str">
        <f t="shared" si="109"/>
        <v>A</v>
      </c>
      <c r="X116" s="773" t="str">
        <f t="shared" si="110"/>
        <v>A</v>
      </c>
      <c r="Y116" s="773" t="str">
        <f t="shared" si="111"/>
        <v>A</v>
      </c>
      <c r="Z116" s="773" t="str">
        <f t="shared" si="112"/>
        <v>A</v>
      </c>
      <c r="AA116" s="773" t="str">
        <f t="shared" si="113"/>
        <v>A</v>
      </c>
      <c r="AB116" s="773" t="str">
        <f t="shared" si="114"/>
        <v>A</v>
      </c>
      <c r="AC116" s="773" t="str">
        <f t="shared" si="115"/>
        <v>A</v>
      </c>
      <c r="AD116" s="876"/>
      <c r="AE116" s="863"/>
      <c r="AF116" s="870"/>
      <c r="AG116" s="1019"/>
      <c r="AH116" s="802"/>
      <c r="AI116" s="803"/>
    </row>
    <row r="117" spans="1:51" hidden="1" outlineLevel="1" x14ac:dyDescent="0.3">
      <c r="A117" s="159"/>
      <c r="B117" s="1191"/>
      <c r="C117" s="735" t="str">
        <f>'Optimalizačné opatrenia'!$B$12</f>
        <v>Integrácia</v>
      </c>
      <c r="D117" s="788" t="s">
        <v>542</v>
      </c>
      <c r="E117" s="773" t="s">
        <v>542</v>
      </c>
      <c r="F117" s="773" t="s">
        <v>542</v>
      </c>
      <c r="G117" s="773" t="str">
        <f t="shared" si="102"/>
        <v>A</v>
      </c>
      <c r="H117" s="773"/>
      <c r="I117" s="773"/>
      <c r="J117" s="773"/>
      <c r="K117" s="773"/>
      <c r="L117" s="773" t="str">
        <f t="shared" si="103"/>
        <v>A</v>
      </c>
      <c r="M117" s="773" t="str">
        <f t="shared" si="103"/>
        <v>A</v>
      </c>
      <c r="N117" s="773" t="s">
        <v>542</v>
      </c>
      <c r="O117" s="773"/>
      <c r="P117" s="773" t="str">
        <f t="shared" si="104"/>
        <v>A</v>
      </c>
      <c r="Q117" s="773" t="str">
        <f t="shared" si="104"/>
        <v>A</v>
      </c>
      <c r="R117" s="773" t="str">
        <f t="shared" si="104"/>
        <v>A</v>
      </c>
      <c r="S117" s="773" t="str">
        <f t="shared" si="105"/>
        <v>A</v>
      </c>
      <c r="T117" s="773" t="str">
        <f t="shared" si="106"/>
        <v>A</v>
      </c>
      <c r="U117" s="773" t="str">
        <f t="shared" si="107"/>
        <v>A</v>
      </c>
      <c r="V117" s="773" t="str">
        <f t="shared" si="108"/>
        <v>A</v>
      </c>
      <c r="W117" s="773" t="str">
        <f t="shared" si="109"/>
        <v>A</v>
      </c>
      <c r="X117" s="773" t="str">
        <f t="shared" si="110"/>
        <v>A</v>
      </c>
      <c r="Y117" s="773" t="str">
        <f t="shared" si="111"/>
        <v>A</v>
      </c>
      <c r="Z117" s="773" t="str">
        <f t="shared" si="112"/>
        <v>A</v>
      </c>
      <c r="AA117" s="773" t="str">
        <f t="shared" si="113"/>
        <v>A</v>
      </c>
      <c r="AB117" s="773" t="str">
        <f t="shared" si="114"/>
        <v>A</v>
      </c>
      <c r="AC117" s="773" t="str">
        <f t="shared" si="115"/>
        <v>A</v>
      </c>
      <c r="AD117" s="876"/>
      <c r="AE117" s="863"/>
      <c r="AF117" s="870"/>
      <c r="AG117" s="1019"/>
      <c r="AH117" s="802"/>
      <c r="AI117" s="803"/>
    </row>
    <row r="118" spans="1:51" hidden="1" outlineLevel="1" x14ac:dyDescent="0.3">
      <c r="A118" s="159"/>
      <c r="B118" s="1191"/>
      <c r="C118" s="740" t="str">
        <f>'Optimalizačné opatrenia'!$B$13</f>
        <v>Proaktivita</v>
      </c>
      <c r="D118" s="788" t="s">
        <v>542</v>
      </c>
      <c r="E118" s="773" t="s">
        <v>542</v>
      </c>
      <c r="F118" s="773" t="s">
        <v>542</v>
      </c>
      <c r="G118" s="773" t="str">
        <f t="shared" si="102"/>
        <v>N</v>
      </c>
      <c r="H118" s="773"/>
      <c r="I118" s="773"/>
      <c r="J118" s="773"/>
      <c r="K118" s="773"/>
      <c r="L118" s="773" t="str">
        <f t="shared" si="103"/>
        <v>A</v>
      </c>
      <c r="M118" s="773" t="str">
        <f t="shared" si="103"/>
        <v>N</v>
      </c>
      <c r="N118" s="773" t="s">
        <v>542</v>
      </c>
      <c r="O118" s="773"/>
      <c r="P118" s="773" t="str">
        <f t="shared" si="104"/>
        <v>N</v>
      </c>
      <c r="Q118" s="773" t="str">
        <f t="shared" si="104"/>
        <v>N</v>
      </c>
      <c r="R118" s="773" t="str">
        <f t="shared" si="104"/>
        <v>A</v>
      </c>
      <c r="S118" s="773" t="str">
        <f t="shared" si="105"/>
        <v>A</v>
      </c>
      <c r="T118" s="773" t="str">
        <f t="shared" si="106"/>
        <v>A</v>
      </c>
      <c r="U118" s="773" t="str">
        <f t="shared" si="107"/>
        <v>N</v>
      </c>
      <c r="V118" s="773" t="str">
        <f t="shared" si="108"/>
        <v>A</v>
      </c>
      <c r="W118" s="773" t="str">
        <f t="shared" si="109"/>
        <v>N</v>
      </c>
      <c r="X118" s="773" t="str">
        <f t="shared" si="110"/>
        <v>N</v>
      </c>
      <c r="Y118" s="773" t="str">
        <f t="shared" si="111"/>
        <v>A</v>
      </c>
      <c r="Z118" s="773" t="str">
        <f t="shared" si="112"/>
        <v>A</v>
      </c>
      <c r="AA118" s="773" t="str">
        <f t="shared" si="113"/>
        <v>A</v>
      </c>
      <c r="AB118" s="773" t="str">
        <f t="shared" si="114"/>
        <v>N</v>
      </c>
      <c r="AC118" s="773" t="str">
        <f t="shared" si="115"/>
        <v>A</v>
      </c>
      <c r="AD118" s="876"/>
      <c r="AE118" s="863"/>
      <c r="AF118" s="870"/>
      <c r="AG118" s="1019"/>
      <c r="AH118" s="802"/>
      <c r="AI118" s="803"/>
    </row>
    <row r="119" spans="1:51" hidden="1" outlineLevel="1" x14ac:dyDescent="0.3">
      <c r="A119" s="159"/>
      <c r="B119" s="790"/>
      <c r="C119" s="792" t="s">
        <v>550</v>
      </c>
      <c r="D119" s="793">
        <v>0</v>
      </c>
      <c r="E119" s="791">
        <v>0</v>
      </c>
      <c r="F119" s="794">
        <v>0</v>
      </c>
      <c r="G119" s="794">
        <f t="shared" ref="G119" si="116">G105</f>
        <v>0.3</v>
      </c>
      <c r="H119" s="794"/>
      <c r="I119" s="794"/>
      <c r="J119" s="794"/>
      <c r="K119" s="794"/>
      <c r="L119" s="794">
        <f t="shared" ref="L119:M119" si="117">L105</f>
        <v>0.4</v>
      </c>
      <c r="M119" s="794">
        <f t="shared" si="117"/>
        <v>0.3</v>
      </c>
      <c r="N119" s="794">
        <v>0</v>
      </c>
      <c r="O119" s="794"/>
      <c r="P119" s="794">
        <f t="shared" ref="P119:R119" si="118">P105</f>
        <v>0.45</v>
      </c>
      <c r="Q119" s="794">
        <f t="shared" si="118"/>
        <v>0.3</v>
      </c>
      <c r="R119" s="794">
        <f t="shared" si="118"/>
        <v>0.4</v>
      </c>
      <c r="S119" s="794">
        <f t="shared" si="105"/>
        <v>0.4</v>
      </c>
      <c r="T119" s="794">
        <f t="shared" si="106"/>
        <v>0.4</v>
      </c>
      <c r="U119" s="794">
        <f t="shared" si="107"/>
        <v>0.3</v>
      </c>
      <c r="V119" s="794">
        <f t="shared" ref="V119" si="119">V105</f>
        <v>0.5</v>
      </c>
      <c r="W119" s="794">
        <f t="shared" si="109"/>
        <v>0.3</v>
      </c>
      <c r="X119" s="794">
        <f t="shared" si="110"/>
        <v>0.3</v>
      </c>
      <c r="Y119" s="794">
        <f t="shared" si="111"/>
        <v>0.4</v>
      </c>
      <c r="Z119" s="794">
        <f t="shared" si="112"/>
        <v>0.4</v>
      </c>
      <c r="AA119" s="794">
        <f t="shared" si="113"/>
        <v>0.5</v>
      </c>
      <c r="AB119" s="794">
        <f t="shared" si="114"/>
        <v>0.3</v>
      </c>
      <c r="AC119" s="794">
        <f t="shared" si="115"/>
        <v>0.4</v>
      </c>
      <c r="AD119" s="877"/>
      <c r="AE119" s="864"/>
      <c r="AF119" s="871"/>
      <c r="AG119" s="1020"/>
      <c r="AH119" s="805"/>
      <c r="AI119" s="806"/>
    </row>
    <row r="120" spans="1:51" ht="86.4" collapsed="1" x14ac:dyDescent="0.3">
      <c r="A120" s="159">
        <f ca="1">OFFSET(A120,-14,0)+1</f>
        <v>9</v>
      </c>
      <c r="B120" s="234" t="str">
        <f ca="1">'Procesy - AS IS'!B32</f>
        <v>Meranie č. 9</v>
      </c>
      <c r="C120" s="718" t="str">
        <f>'Procesy - AS IS'!C32</f>
        <v>Nidec Global Appliance Slovakia, s.r.o., Zlaté Moravce - kontrola na základe vlastného kontrolného diskontinuálneho merania, nedodržanie EL, Kontrola stredného zdroja, 6423 - 23451/33/2018/Fia</v>
      </c>
      <c r="D120" s="796">
        <f>-'Procesy - AS IS'!D34*D133</f>
        <v>0</v>
      </c>
      <c r="E120" s="721">
        <f>-'Procesy - AS IS'!E34*E133</f>
        <v>0</v>
      </c>
      <c r="F120" s="721">
        <f>-'Procesy - AS IS'!F34*F133</f>
        <v>0</v>
      </c>
      <c r="G120" s="721">
        <f>-'Procesy - AS IS'!G34*G133</f>
        <v>-2.4</v>
      </c>
      <c r="H120" s="721" t="s">
        <v>568</v>
      </c>
      <c r="I120" s="721" t="s">
        <v>568</v>
      </c>
      <c r="J120" s="721" t="s">
        <v>568</v>
      </c>
      <c r="K120" s="721" t="s">
        <v>568</v>
      </c>
      <c r="L120" s="721">
        <f>-'Procesy - AS IS'!L34*L133</f>
        <v>-0.1</v>
      </c>
      <c r="M120" s="721">
        <f>-'Procesy - AS IS'!M34*M133</f>
        <v>-0.89999999999999991</v>
      </c>
      <c r="N120" s="721">
        <f>-'Procesy - AS IS'!N34*N133</f>
        <v>0</v>
      </c>
      <c r="O120" s="721" t="s">
        <v>572</v>
      </c>
      <c r="P120" s="721">
        <f>-'Procesy - AS IS'!P34*P133</f>
        <v>-0.45</v>
      </c>
      <c r="Q120" s="721">
        <f>-'Procesy - AS IS'!Q34*Q133</f>
        <v>0</v>
      </c>
      <c r="R120" s="721">
        <f>-'Procesy - AS IS'!R34*R133</f>
        <v>-2.7972027972027971</v>
      </c>
      <c r="S120" s="721">
        <f>-'Procesy - AS IS'!S34*S133</f>
        <v>-3.902097902097903</v>
      </c>
      <c r="T120" s="721">
        <f>-'Procesy - AS IS'!T34*T133</f>
        <v>-1.118881118881119</v>
      </c>
      <c r="U120" s="721">
        <f>-'Procesy - AS IS'!U34*U133</f>
        <v>-1.560839160839161</v>
      </c>
      <c r="V120" s="721">
        <f>-'Procesy - AS IS'!V34*V133</f>
        <v>-0.25</v>
      </c>
      <c r="W120" s="721">
        <f>-'Procesy - AS IS'!W34*W133</f>
        <v>-0.1888111888111888</v>
      </c>
      <c r="X120" s="721">
        <f>-'Procesy - AS IS'!X34*X133</f>
        <v>0</v>
      </c>
      <c r="Y120" s="721">
        <f>-'Procesy - AS IS'!Y34*Y133</f>
        <v>-2.0139860139860142</v>
      </c>
      <c r="Z120" s="721">
        <f>-'Procesy - AS IS'!Z34*Z133</f>
        <v>-1.9580419580419582E-2</v>
      </c>
      <c r="AA120" s="721">
        <f>-'Procesy - AS IS'!AA34*AA133</f>
        <v>-4.8951048951048952E-2</v>
      </c>
      <c r="AB120" s="721">
        <f>-'Procesy - AS IS'!AB34*AB133</f>
        <v>-0.39160839160839167</v>
      </c>
      <c r="AC120" s="721">
        <f>-'Procesy - AS IS'!AC34*AC133</f>
        <v>-0.78321678321678334</v>
      </c>
      <c r="AD120" s="824">
        <f>SUM(D120:AC120)</f>
        <v>-16.925174825174825</v>
      </c>
      <c r="AE120" s="798">
        <f>AD120/'Procesy - AS IS'!AD34</f>
        <v>-0.36597739386837036</v>
      </c>
      <c r="AF120" s="869">
        <f>('Procesy - AS IS'!AG31/(1+$AE120)-'Procesy - AS IS'!AG31)/2</f>
        <v>41.272004197522037</v>
      </c>
      <c r="AG120" s="1018">
        <f>('Procesy - AS IS'!AH31/(1+$AE120)-'Procesy - AS IS'!AH31)/2</f>
        <v>14.43077069843428</v>
      </c>
      <c r="AH120" s="800">
        <f>('Procesy - AS IS'!AI31/(1+$AE120)-'Procesy - AS IS'!AI31)/2</f>
        <v>12.987693628590854</v>
      </c>
      <c r="AI120" s="801">
        <f>('Procesy - AS IS'!AJ31/(1+$AE120)-'Procesy - AS IS'!AJ31)/2</f>
        <v>2.0203078977807989</v>
      </c>
      <c r="AK120" s="232"/>
      <c r="AY120" s="227"/>
    </row>
    <row r="121" spans="1:51" hidden="1" outlineLevel="1" x14ac:dyDescent="0.3">
      <c r="A121" s="159"/>
      <c r="B121" s="1190" t="s">
        <v>540</v>
      </c>
      <c r="C121" s="735" t="str">
        <f>'Optimalizačné opatrenia'!$B$2</f>
        <v>Modernizácia</v>
      </c>
      <c r="D121" s="773" t="s">
        <v>542</v>
      </c>
      <c r="E121" s="742" t="s">
        <v>542</v>
      </c>
      <c r="F121" s="773" t="s">
        <v>542</v>
      </c>
      <c r="G121" s="773" t="str">
        <f t="shared" ref="G121:G161" si="120">G107</f>
        <v>A</v>
      </c>
      <c r="H121" s="773"/>
      <c r="I121" s="773"/>
      <c r="J121" s="773"/>
      <c r="K121" s="773"/>
      <c r="L121" s="773" t="str">
        <f t="shared" ref="L121:M133" si="121">L107</f>
        <v>A</v>
      </c>
      <c r="M121" s="773" t="str">
        <f t="shared" si="121"/>
        <v>A</v>
      </c>
      <c r="N121" s="773" t="str">
        <f t="shared" ref="N121:N133" si="122">G121</f>
        <v>A</v>
      </c>
      <c r="O121" s="773"/>
      <c r="P121" s="773" t="str">
        <f t="shared" ref="P121:Q133" si="123">P93</f>
        <v>A</v>
      </c>
      <c r="Q121" s="773" t="str">
        <f t="shared" si="123"/>
        <v>A</v>
      </c>
      <c r="R121" s="773" t="str">
        <f t="shared" ref="R121:R161" si="124">R107</f>
        <v>A</v>
      </c>
      <c r="S121" s="773" t="str">
        <f t="shared" ref="S121:S133" si="125">R121</f>
        <v>A</v>
      </c>
      <c r="T121" s="773" t="str">
        <f t="shared" ref="T121:T133" si="126">R93</f>
        <v>A</v>
      </c>
      <c r="U121" s="773" t="str">
        <f t="shared" ref="U121:U161" si="127">$G121</f>
        <v>A</v>
      </c>
      <c r="V121" s="773" t="str">
        <f t="shared" ref="V121:V161" si="128">V93</f>
        <v>A</v>
      </c>
      <c r="W121" s="773" t="str">
        <f t="shared" ref="W121:W133" si="129">W7</f>
        <v>A</v>
      </c>
      <c r="X121" s="773" t="str">
        <f t="shared" ref="X121:X161" si="130">$G121</f>
        <v>A</v>
      </c>
      <c r="Y121" s="773" t="str">
        <f t="shared" ref="Y121:Y161" si="131">$R121</f>
        <v>A</v>
      </c>
      <c r="Z121" s="773" t="str">
        <f t="shared" ref="Z121:Z133" si="132">R93</f>
        <v>A</v>
      </c>
      <c r="AA121" s="773" t="str">
        <f t="shared" ref="AA121:AA161" si="133">$V121</f>
        <v>A</v>
      </c>
      <c r="AB121" s="773" t="str">
        <f t="shared" ref="AB121:AC136" si="134">$R121</f>
        <v>A</v>
      </c>
      <c r="AC121" s="773" t="str">
        <f t="shared" si="134"/>
        <v>A</v>
      </c>
      <c r="AD121" s="876"/>
      <c r="AE121" s="863"/>
      <c r="AF121" s="870"/>
      <c r="AG121" s="1019"/>
      <c r="AH121" s="802"/>
      <c r="AI121" s="803"/>
    </row>
    <row r="122" spans="1:51" hidden="1" outlineLevel="1" x14ac:dyDescent="0.3">
      <c r="A122" s="159"/>
      <c r="B122" s="1191"/>
      <c r="C122" s="735" t="str">
        <f>'Optimalizačné opatrenia'!$B$3</f>
        <v>Sfunkčnenie</v>
      </c>
      <c r="D122" s="788" t="s">
        <v>542</v>
      </c>
      <c r="E122" s="773" t="s">
        <v>542</v>
      </c>
      <c r="F122" s="773" t="s">
        <v>542</v>
      </c>
      <c r="G122" s="773" t="str">
        <f t="shared" si="120"/>
        <v>N</v>
      </c>
      <c r="H122" s="773"/>
      <c r="I122" s="773"/>
      <c r="J122" s="773"/>
      <c r="K122" s="773"/>
      <c r="L122" s="773" t="str">
        <f t="shared" si="121"/>
        <v>N</v>
      </c>
      <c r="M122" s="773" t="str">
        <f t="shared" si="121"/>
        <v>N</v>
      </c>
      <c r="N122" s="773" t="str">
        <f t="shared" si="122"/>
        <v>N</v>
      </c>
      <c r="O122" s="773"/>
      <c r="P122" s="773" t="str">
        <f t="shared" si="123"/>
        <v>N</v>
      </c>
      <c r="Q122" s="773" t="str">
        <f t="shared" si="123"/>
        <v>N</v>
      </c>
      <c r="R122" s="773" t="str">
        <f t="shared" si="124"/>
        <v>N</v>
      </c>
      <c r="S122" s="773" t="str">
        <f t="shared" si="125"/>
        <v>N</v>
      </c>
      <c r="T122" s="773" t="str">
        <f t="shared" si="126"/>
        <v>N</v>
      </c>
      <c r="U122" s="773" t="str">
        <f t="shared" si="127"/>
        <v>N</v>
      </c>
      <c r="V122" s="773" t="str">
        <f t="shared" si="128"/>
        <v>N</v>
      </c>
      <c r="W122" s="773" t="str">
        <f t="shared" si="129"/>
        <v>N</v>
      </c>
      <c r="X122" s="773" t="str">
        <f t="shared" si="130"/>
        <v>N</v>
      </c>
      <c r="Y122" s="773" t="str">
        <f t="shared" si="131"/>
        <v>N</v>
      </c>
      <c r="Z122" s="773" t="str">
        <f t="shared" si="132"/>
        <v>N</v>
      </c>
      <c r="AA122" s="773" t="str">
        <f t="shared" si="133"/>
        <v>N</v>
      </c>
      <c r="AB122" s="773" t="str">
        <f t="shared" si="134"/>
        <v>N</v>
      </c>
      <c r="AC122" s="773" t="str">
        <f t="shared" si="134"/>
        <v>N</v>
      </c>
      <c r="AD122" s="876"/>
      <c r="AE122" s="863"/>
      <c r="AF122" s="870"/>
      <c r="AG122" s="1019"/>
      <c r="AH122" s="802"/>
      <c r="AI122" s="803"/>
    </row>
    <row r="123" spans="1:51" hidden="1" outlineLevel="1" x14ac:dyDescent="0.3">
      <c r="A123" s="159"/>
      <c r="B123" s="1191"/>
      <c r="C123" s="735" t="str">
        <f>'Optimalizačné opatrenia'!$B$4</f>
        <v>Zjednotenie</v>
      </c>
      <c r="D123" s="788" t="s">
        <v>542</v>
      </c>
      <c r="E123" s="773" t="s">
        <v>542</v>
      </c>
      <c r="F123" s="773" t="s">
        <v>542</v>
      </c>
      <c r="G123" s="773" t="str">
        <f t="shared" si="120"/>
        <v>A</v>
      </c>
      <c r="H123" s="773"/>
      <c r="I123" s="773"/>
      <c r="J123" s="773"/>
      <c r="K123" s="773"/>
      <c r="L123" s="773" t="str">
        <f t="shared" si="121"/>
        <v>A</v>
      </c>
      <c r="M123" s="773" t="str">
        <f t="shared" si="121"/>
        <v>A</v>
      </c>
      <c r="N123" s="773" t="str">
        <f t="shared" si="122"/>
        <v>A</v>
      </c>
      <c r="O123" s="773"/>
      <c r="P123" s="773" t="str">
        <f t="shared" si="123"/>
        <v>A</v>
      </c>
      <c r="Q123" s="773" t="str">
        <f t="shared" si="123"/>
        <v>A</v>
      </c>
      <c r="R123" s="773" t="str">
        <f t="shared" si="124"/>
        <v>A</v>
      </c>
      <c r="S123" s="773" t="str">
        <f t="shared" si="125"/>
        <v>A</v>
      </c>
      <c r="T123" s="773" t="str">
        <f t="shared" si="126"/>
        <v>A</v>
      </c>
      <c r="U123" s="773" t="str">
        <f t="shared" si="127"/>
        <v>A</v>
      </c>
      <c r="V123" s="773" t="str">
        <f t="shared" si="128"/>
        <v>A</v>
      </c>
      <c r="W123" s="773" t="str">
        <f t="shared" si="129"/>
        <v>A</v>
      </c>
      <c r="X123" s="773" t="str">
        <f t="shared" si="130"/>
        <v>A</v>
      </c>
      <c r="Y123" s="773" t="str">
        <f t="shared" si="131"/>
        <v>A</v>
      </c>
      <c r="Z123" s="773" t="str">
        <f t="shared" si="132"/>
        <v>A</v>
      </c>
      <c r="AA123" s="773" t="str">
        <f t="shared" si="133"/>
        <v>A</v>
      </c>
      <c r="AB123" s="773" t="str">
        <f t="shared" si="134"/>
        <v>A</v>
      </c>
      <c r="AC123" s="773" t="str">
        <f t="shared" si="134"/>
        <v>A</v>
      </c>
      <c r="AD123" s="876"/>
      <c r="AE123" s="863"/>
      <c r="AF123" s="870"/>
      <c r="AG123" s="1019"/>
      <c r="AH123" s="802"/>
      <c r="AI123" s="803"/>
    </row>
    <row r="124" spans="1:51" hidden="1" outlineLevel="1" x14ac:dyDescent="0.3">
      <c r="A124" s="159"/>
      <c r="B124" s="1191"/>
      <c r="C124" s="735" t="str">
        <f>'Optimalizačné opatrenia'!$B$5</f>
        <v>Centralizácia</v>
      </c>
      <c r="D124" s="788" t="s">
        <v>542</v>
      </c>
      <c r="E124" s="773" t="s">
        <v>542</v>
      </c>
      <c r="F124" s="773" t="s">
        <v>542</v>
      </c>
      <c r="G124" s="773" t="str">
        <f t="shared" si="120"/>
        <v>A</v>
      </c>
      <c r="H124" s="773"/>
      <c r="I124" s="773"/>
      <c r="J124" s="773"/>
      <c r="K124" s="773"/>
      <c r="L124" s="773" t="str">
        <f t="shared" si="121"/>
        <v>A</v>
      </c>
      <c r="M124" s="773" t="str">
        <f t="shared" si="121"/>
        <v>A</v>
      </c>
      <c r="N124" s="773" t="str">
        <f t="shared" si="122"/>
        <v>A</v>
      </c>
      <c r="O124" s="773"/>
      <c r="P124" s="773" t="str">
        <f t="shared" si="123"/>
        <v>A</v>
      </c>
      <c r="Q124" s="773" t="str">
        <f t="shared" si="123"/>
        <v>A</v>
      </c>
      <c r="R124" s="773" t="str">
        <f t="shared" si="124"/>
        <v>A</v>
      </c>
      <c r="S124" s="773" t="str">
        <f t="shared" si="125"/>
        <v>A</v>
      </c>
      <c r="T124" s="773" t="str">
        <f t="shared" si="126"/>
        <v>A</v>
      </c>
      <c r="U124" s="773" t="str">
        <f t="shared" si="127"/>
        <v>A</v>
      </c>
      <c r="V124" s="773" t="str">
        <f t="shared" si="128"/>
        <v>A</v>
      </c>
      <c r="W124" s="773" t="str">
        <f t="shared" si="129"/>
        <v>A</v>
      </c>
      <c r="X124" s="773" t="str">
        <f t="shared" si="130"/>
        <v>A</v>
      </c>
      <c r="Y124" s="773" t="str">
        <f t="shared" si="131"/>
        <v>A</v>
      </c>
      <c r="Z124" s="773" t="str">
        <f t="shared" si="132"/>
        <v>A</v>
      </c>
      <c r="AA124" s="773" t="str">
        <f t="shared" si="133"/>
        <v>A</v>
      </c>
      <c r="AB124" s="773" t="str">
        <f t="shared" si="134"/>
        <v>A</v>
      </c>
      <c r="AC124" s="773" t="str">
        <f t="shared" si="134"/>
        <v>A</v>
      </c>
      <c r="AD124" s="876"/>
      <c r="AE124" s="863"/>
      <c r="AF124" s="870"/>
      <c r="AG124" s="1019"/>
      <c r="AH124" s="802"/>
      <c r="AI124" s="803"/>
    </row>
    <row r="125" spans="1:51" hidden="1" outlineLevel="1" x14ac:dyDescent="0.3">
      <c r="A125" s="159"/>
      <c r="B125" s="1191"/>
      <c r="C125" s="735" t="str">
        <f>'Optimalizačné opatrenia'!$B$6</f>
        <v>Elektronizácia</v>
      </c>
      <c r="D125" s="788" t="s">
        <v>542</v>
      </c>
      <c r="E125" s="773" t="s">
        <v>542</v>
      </c>
      <c r="F125" s="773" t="s">
        <v>542</v>
      </c>
      <c r="G125" s="773" t="str">
        <f t="shared" si="120"/>
        <v>A</v>
      </c>
      <c r="H125" s="773"/>
      <c r="I125" s="773"/>
      <c r="J125" s="773"/>
      <c r="K125" s="773"/>
      <c r="L125" s="773" t="str">
        <f t="shared" si="121"/>
        <v>A</v>
      </c>
      <c r="M125" s="773" t="str">
        <f t="shared" si="121"/>
        <v>A</v>
      </c>
      <c r="N125" s="773" t="str">
        <f t="shared" si="122"/>
        <v>A</v>
      </c>
      <c r="O125" s="773"/>
      <c r="P125" s="773" t="str">
        <f t="shared" si="123"/>
        <v>A</v>
      </c>
      <c r="Q125" s="773" t="str">
        <f t="shared" si="123"/>
        <v>A</v>
      </c>
      <c r="R125" s="773" t="str">
        <f t="shared" si="124"/>
        <v>A</v>
      </c>
      <c r="S125" s="773" t="str">
        <f t="shared" si="125"/>
        <v>A</v>
      </c>
      <c r="T125" s="773" t="str">
        <f t="shared" si="126"/>
        <v>A</v>
      </c>
      <c r="U125" s="773" t="str">
        <f t="shared" si="127"/>
        <v>A</v>
      </c>
      <c r="V125" s="773" t="str">
        <f t="shared" si="128"/>
        <v>A</v>
      </c>
      <c r="W125" s="773" t="str">
        <f t="shared" si="129"/>
        <v>A</v>
      </c>
      <c r="X125" s="773" t="str">
        <f t="shared" si="130"/>
        <v>A</v>
      </c>
      <c r="Y125" s="773" t="str">
        <f t="shared" si="131"/>
        <v>A</v>
      </c>
      <c r="Z125" s="773" t="str">
        <f t="shared" si="132"/>
        <v>A</v>
      </c>
      <c r="AA125" s="773" t="str">
        <f t="shared" si="133"/>
        <v>A</v>
      </c>
      <c r="AB125" s="773" t="str">
        <f t="shared" si="134"/>
        <v>A</v>
      </c>
      <c r="AC125" s="773" t="str">
        <f t="shared" si="134"/>
        <v>A</v>
      </c>
      <c r="AD125" s="876"/>
      <c r="AE125" s="863"/>
      <c r="AF125" s="870"/>
      <c r="AG125" s="1019"/>
      <c r="AH125" s="802"/>
      <c r="AI125" s="803"/>
    </row>
    <row r="126" spans="1:51" hidden="1" outlineLevel="1" x14ac:dyDescent="0.3">
      <c r="A126" s="159"/>
      <c r="B126" s="1191"/>
      <c r="C126" s="735" t="str">
        <f>'Optimalizačné opatrenia'!$B$7</f>
        <v>Automatizácia</v>
      </c>
      <c r="D126" s="788" t="s">
        <v>542</v>
      </c>
      <c r="E126" s="773" t="s">
        <v>542</v>
      </c>
      <c r="F126" s="773" t="s">
        <v>542</v>
      </c>
      <c r="G126" s="773" t="str">
        <f t="shared" si="120"/>
        <v>A</v>
      </c>
      <c r="H126" s="773"/>
      <c r="I126" s="773"/>
      <c r="J126" s="773"/>
      <c r="K126" s="773"/>
      <c r="L126" s="773" t="str">
        <f t="shared" si="121"/>
        <v>A</v>
      </c>
      <c r="M126" s="773" t="str">
        <f t="shared" si="121"/>
        <v>A</v>
      </c>
      <c r="N126" s="773" t="str">
        <f t="shared" si="122"/>
        <v>A</v>
      </c>
      <c r="O126" s="773"/>
      <c r="P126" s="773" t="str">
        <f t="shared" si="123"/>
        <v>A</v>
      </c>
      <c r="Q126" s="773" t="str">
        <f t="shared" si="123"/>
        <v>A</v>
      </c>
      <c r="R126" s="773" t="str">
        <f t="shared" si="124"/>
        <v>A</v>
      </c>
      <c r="S126" s="773" t="str">
        <f t="shared" si="125"/>
        <v>A</v>
      </c>
      <c r="T126" s="773" t="str">
        <f t="shared" si="126"/>
        <v>A</v>
      </c>
      <c r="U126" s="773" t="str">
        <f t="shared" si="127"/>
        <v>A</v>
      </c>
      <c r="V126" s="773" t="str">
        <f t="shared" si="128"/>
        <v>A</v>
      </c>
      <c r="W126" s="773" t="str">
        <f t="shared" si="129"/>
        <v>A</v>
      </c>
      <c r="X126" s="773" t="str">
        <f t="shared" si="130"/>
        <v>A</v>
      </c>
      <c r="Y126" s="773" t="str">
        <f t="shared" si="131"/>
        <v>A</v>
      </c>
      <c r="Z126" s="773" t="str">
        <f t="shared" si="132"/>
        <v>A</v>
      </c>
      <c r="AA126" s="773" t="str">
        <f t="shared" si="133"/>
        <v>A</v>
      </c>
      <c r="AB126" s="773" t="str">
        <f t="shared" si="134"/>
        <v>A</v>
      </c>
      <c r="AC126" s="773" t="str">
        <f t="shared" si="134"/>
        <v>A</v>
      </c>
      <c r="AD126" s="876"/>
      <c r="AE126" s="863"/>
      <c r="AF126" s="870"/>
      <c r="AG126" s="1019"/>
      <c r="AH126" s="802"/>
      <c r="AI126" s="803"/>
    </row>
    <row r="127" spans="1:51" hidden="1" outlineLevel="1" x14ac:dyDescent="0.3">
      <c r="A127" s="159"/>
      <c r="B127" s="1191"/>
      <c r="C127" s="735" t="str">
        <f>'Optimalizačné opatrenia'!$B$8</f>
        <v>Bezpečnosť</v>
      </c>
      <c r="D127" s="788" t="s">
        <v>542</v>
      </c>
      <c r="E127" s="773" t="s">
        <v>542</v>
      </c>
      <c r="F127" s="773" t="s">
        <v>542</v>
      </c>
      <c r="G127" s="773" t="str">
        <f t="shared" si="120"/>
        <v>A</v>
      </c>
      <c r="H127" s="773"/>
      <c r="I127" s="773"/>
      <c r="J127" s="773"/>
      <c r="K127" s="773"/>
      <c r="L127" s="773" t="str">
        <f t="shared" si="121"/>
        <v>A</v>
      </c>
      <c r="M127" s="773" t="str">
        <f t="shared" si="121"/>
        <v>A</v>
      </c>
      <c r="N127" s="773" t="str">
        <f t="shared" si="122"/>
        <v>A</v>
      </c>
      <c r="O127" s="773"/>
      <c r="P127" s="773" t="str">
        <f t="shared" si="123"/>
        <v>A</v>
      </c>
      <c r="Q127" s="773" t="str">
        <f t="shared" si="123"/>
        <v>A</v>
      </c>
      <c r="R127" s="773" t="str">
        <f t="shared" si="124"/>
        <v>A</v>
      </c>
      <c r="S127" s="773" t="str">
        <f t="shared" si="125"/>
        <v>A</v>
      </c>
      <c r="T127" s="773" t="str">
        <f t="shared" si="126"/>
        <v>A</v>
      </c>
      <c r="U127" s="773" t="str">
        <f t="shared" si="127"/>
        <v>A</v>
      </c>
      <c r="V127" s="773" t="str">
        <f t="shared" si="128"/>
        <v>A</v>
      </c>
      <c r="W127" s="773" t="str">
        <f t="shared" si="129"/>
        <v>A</v>
      </c>
      <c r="X127" s="773" t="str">
        <f t="shared" si="130"/>
        <v>A</v>
      </c>
      <c r="Y127" s="773" t="str">
        <f t="shared" si="131"/>
        <v>A</v>
      </c>
      <c r="Z127" s="773" t="str">
        <f t="shared" si="132"/>
        <v>A</v>
      </c>
      <c r="AA127" s="773" t="str">
        <f t="shared" si="133"/>
        <v>A</v>
      </c>
      <c r="AB127" s="773" t="str">
        <f t="shared" si="134"/>
        <v>A</v>
      </c>
      <c r="AC127" s="773" t="str">
        <f t="shared" si="134"/>
        <v>A</v>
      </c>
      <c r="AD127" s="876"/>
      <c r="AE127" s="863"/>
      <c r="AF127" s="870"/>
      <c r="AG127" s="1019"/>
      <c r="AH127" s="802"/>
      <c r="AI127" s="803"/>
    </row>
    <row r="128" spans="1:51" hidden="1" outlineLevel="1" x14ac:dyDescent="0.3">
      <c r="A128" s="159"/>
      <c r="B128" s="1191"/>
      <c r="C128" s="735" t="str">
        <f>'Optimalizačné opatrenia'!$B$9</f>
        <v>Auditovateľnosť</v>
      </c>
      <c r="D128" s="788" t="s">
        <v>542</v>
      </c>
      <c r="E128" s="773" t="s">
        <v>542</v>
      </c>
      <c r="F128" s="773" t="s">
        <v>542</v>
      </c>
      <c r="G128" s="773" t="str">
        <f t="shared" si="120"/>
        <v>A</v>
      </c>
      <c r="H128" s="773"/>
      <c r="I128" s="773"/>
      <c r="J128" s="773"/>
      <c r="K128" s="773"/>
      <c r="L128" s="773" t="str">
        <f t="shared" si="121"/>
        <v>A</v>
      </c>
      <c r="M128" s="773" t="str">
        <f t="shared" si="121"/>
        <v>A</v>
      </c>
      <c r="N128" s="773" t="str">
        <f t="shared" si="122"/>
        <v>A</v>
      </c>
      <c r="O128" s="773"/>
      <c r="P128" s="773" t="str">
        <f t="shared" si="123"/>
        <v>A</v>
      </c>
      <c r="Q128" s="773" t="str">
        <f t="shared" si="123"/>
        <v>A</v>
      </c>
      <c r="R128" s="773" t="str">
        <f t="shared" si="124"/>
        <v>A</v>
      </c>
      <c r="S128" s="773" t="str">
        <f t="shared" si="125"/>
        <v>A</v>
      </c>
      <c r="T128" s="773" t="str">
        <f t="shared" si="126"/>
        <v>A</v>
      </c>
      <c r="U128" s="773" t="str">
        <f t="shared" si="127"/>
        <v>A</v>
      </c>
      <c r="V128" s="773" t="str">
        <f t="shared" si="128"/>
        <v>A</v>
      </c>
      <c r="W128" s="773" t="str">
        <f t="shared" si="129"/>
        <v>A</v>
      </c>
      <c r="X128" s="773" t="str">
        <f t="shared" si="130"/>
        <v>A</v>
      </c>
      <c r="Y128" s="773" t="str">
        <f t="shared" si="131"/>
        <v>A</v>
      </c>
      <c r="Z128" s="773" t="str">
        <f t="shared" si="132"/>
        <v>A</v>
      </c>
      <c r="AA128" s="773" t="str">
        <f t="shared" si="133"/>
        <v>A</v>
      </c>
      <c r="AB128" s="773" t="str">
        <f t="shared" si="134"/>
        <v>A</v>
      </c>
      <c r="AC128" s="773" t="str">
        <f t="shared" si="134"/>
        <v>A</v>
      </c>
      <c r="AD128" s="876"/>
      <c r="AE128" s="863"/>
      <c r="AF128" s="870"/>
      <c r="AG128" s="1019"/>
      <c r="AH128" s="802"/>
      <c r="AI128" s="803"/>
    </row>
    <row r="129" spans="1:51" hidden="1" outlineLevel="1" x14ac:dyDescent="0.3">
      <c r="A129" s="159"/>
      <c r="B129" s="1191"/>
      <c r="C129" s="735" t="str">
        <f>'Optimalizačné opatrenia'!$B$10</f>
        <v>Transparentnosť</v>
      </c>
      <c r="D129" s="788" t="s">
        <v>542</v>
      </c>
      <c r="E129" s="773" t="s">
        <v>542</v>
      </c>
      <c r="F129" s="773" t="s">
        <v>542</v>
      </c>
      <c r="G129" s="773" t="str">
        <f t="shared" si="120"/>
        <v>N</v>
      </c>
      <c r="H129" s="773"/>
      <c r="I129" s="773"/>
      <c r="J129" s="773"/>
      <c r="K129" s="773"/>
      <c r="L129" s="773" t="str">
        <f t="shared" si="121"/>
        <v>N</v>
      </c>
      <c r="M129" s="773" t="str">
        <f t="shared" si="121"/>
        <v>N</v>
      </c>
      <c r="N129" s="773" t="str">
        <f t="shared" si="122"/>
        <v>N</v>
      </c>
      <c r="O129" s="773"/>
      <c r="P129" s="773" t="str">
        <f t="shared" si="123"/>
        <v>A</v>
      </c>
      <c r="Q129" s="773" t="str">
        <f t="shared" si="123"/>
        <v>N</v>
      </c>
      <c r="R129" s="773" t="str">
        <f t="shared" si="124"/>
        <v>N</v>
      </c>
      <c r="S129" s="773" t="str">
        <f t="shared" si="125"/>
        <v>N</v>
      </c>
      <c r="T129" s="773" t="str">
        <f t="shared" si="126"/>
        <v>N</v>
      </c>
      <c r="U129" s="773" t="str">
        <f t="shared" si="127"/>
        <v>N</v>
      </c>
      <c r="V129" s="773" t="str">
        <f t="shared" si="128"/>
        <v>A</v>
      </c>
      <c r="W129" s="773" t="str">
        <f t="shared" si="129"/>
        <v>N</v>
      </c>
      <c r="X129" s="773" t="str">
        <f t="shared" si="130"/>
        <v>N</v>
      </c>
      <c r="Y129" s="773" t="str">
        <f t="shared" si="131"/>
        <v>N</v>
      </c>
      <c r="Z129" s="773" t="str">
        <f t="shared" si="132"/>
        <v>N</v>
      </c>
      <c r="AA129" s="773" t="str">
        <f t="shared" si="133"/>
        <v>A</v>
      </c>
      <c r="AB129" s="773" t="str">
        <f t="shared" si="134"/>
        <v>N</v>
      </c>
      <c r="AC129" s="773" t="str">
        <f t="shared" si="134"/>
        <v>N</v>
      </c>
      <c r="AD129" s="876"/>
      <c r="AE129" s="863"/>
      <c r="AF129" s="870"/>
      <c r="AG129" s="1019"/>
      <c r="AH129" s="802"/>
      <c r="AI129" s="803"/>
    </row>
    <row r="130" spans="1:51" hidden="1" outlineLevel="1" x14ac:dyDescent="0.3">
      <c r="A130" s="159"/>
      <c r="B130" s="1191"/>
      <c r="C130" s="735" t="str">
        <f>'Optimalizačné opatrenia'!$B$11</f>
        <v>Analyzovatelnosť</v>
      </c>
      <c r="D130" s="788" t="s">
        <v>542</v>
      </c>
      <c r="E130" s="773" t="s">
        <v>542</v>
      </c>
      <c r="F130" s="773" t="s">
        <v>542</v>
      </c>
      <c r="G130" s="773" t="str">
        <f t="shared" si="120"/>
        <v>A</v>
      </c>
      <c r="H130" s="773"/>
      <c r="I130" s="773"/>
      <c r="J130" s="773"/>
      <c r="K130" s="773"/>
      <c r="L130" s="773" t="str">
        <f t="shared" si="121"/>
        <v>A</v>
      </c>
      <c r="M130" s="773" t="str">
        <f t="shared" si="121"/>
        <v>A</v>
      </c>
      <c r="N130" s="773" t="str">
        <f t="shared" si="122"/>
        <v>A</v>
      </c>
      <c r="O130" s="773"/>
      <c r="P130" s="773" t="str">
        <f t="shared" si="123"/>
        <v>A</v>
      </c>
      <c r="Q130" s="773" t="str">
        <f t="shared" si="123"/>
        <v>A</v>
      </c>
      <c r="R130" s="773" t="str">
        <f t="shared" si="124"/>
        <v>A</v>
      </c>
      <c r="S130" s="773" t="str">
        <f t="shared" si="125"/>
        <v>A</v>
      </c>
      <c r="T130" s="773" t="str">
        <f t="shared" si="126"/>
        <v>A</v>
      </c>
      <c r="U130" s="773" t="str">
        <f t="shared" si="127"/>
        <v>A</v>
      </c>
      <c r="V130" s="773" t="str">
        <f t="shared" si="128"/>
        <v>A</v>
      </c>
      <c r="W130" s="773" t="str">
        <f t="shared" si="129"/>
        <v>A</v>
      </c>
      <c r="X130" s="773" t="str">
        <f t="shared" si="130"/>
        <v>A</v>
      </c>
      <c r="Y130" s="773" t="str">
        <f t="shared" si="131"/>
        <v>A</v>
      </c>
      <c r="Z130" s="773" t="str">
        <f t="shared" si="132"/>
        <v>A</v>
      </c>
      <c r="AA130" s="773" t="str">
        <f t="shared" si="133"/>
        <v>A</v>
      </c>
      <c r="AB130" s="773" t="str">
        <f t="shared" si="134"/>
        <v>A</v>
      </c>
      <c r="AC130" s="773" t="str">
        <f t="shared" si="134"/>
        <v>A</v>
      </c>
      <c r="AD130" s="876"/>
      <c r="AE130" s="863"/>
      <c r="AF130" s="870"/>
      <c r="AG130" s="1019"/>
      <c r="AH130" s="802"/>
      <c r="AI130" s="803"/>
    </row>
    <row r="131" spans="1:51" hidden="1" outlineLevel="1" x14ac:dyDescent="0.3">
      <c r="A131" s="159"/>
      <c r="B131" s="1191"/>
      <c r="C131" s="735" t="str">
        <f>'Optimalizačné opatrenia'!$B$12</f>
        <v>Integrácia</v>
      </c>
      <c r="D131" s="788" t="s">
        <v>542</v>
      </c>
      <c r="E131" s="773" t="s">
        <v>542</v>
      </c>
      <c r="F131" s="773" t="s">
        <v>542</v>
      </c>
      <c r="G131" s="773" t="str">
        <f t="shared" si="120"/>
        <v>A</v>
      </c>
      <c r="H131" s="773"/>
      <c r="I131" s="773"/>
      <c r="J131" s="773"/>
      <c r="K131" s="773"/>
      <c r="L131" s="773" t="str">
        <f t="shared" si="121"/>
        <v>A</v>
      </c>
      <c r="M131" s="773" t="str">
        <f t="shared" si="121"/>
        <v>A</v>
      </c>
      <c r="N131" s="773" t="str">
        <f t="shared" si="122"/>
        <v>A</v>
      </c>
      <c r="O131" s="773"/>
      <c r="P131" s="773" t="str">
        <f t="shared" si="123"/>
        <v>A</v>
      </c>
      <c r="Q131" s="773" t="str">
        <f t="shared" si="123"/>
        <v>A</v>
      </c>
      <c r="R131" s="773" t="str">
        <f t="shared" si="124"/>
        <v>A</v>
      </c>
      <c r="S131" s="773" t="str">
        <f t="shared" si="125"/>
        <v>A</v>
      </c>
      <c r="T131" s="773" t="str">
        <f t="shared" si="126"/>
        <v>A</v>
      </c>
      <c r="U131" s="773" t="str">
        <f t="shared" si="127"/>
        <v>A</v>
      </c>
      <c r="V131" s="773" t="str">
        <f t="shared" si="128"/>
        <v>A</v>
      </c>
      <c r="W131" s="773" t="str">
        <f t="shared" si="129"/>
        <v>A</v>
      </c>
      <c r="X131" s="773" t="str">
        <f t="shared" si="130"/>
        <v>A</v>
      </c>
      <c r="Y131" s="773" t="str">
        <f t="shared" si="131"/>
        <v>A</v>
      </c>
      <c r="Z131" s="773" t="str">
        <f t="shared" si="132"/>
        <v>A</v>
      </c>
      <c r="AA131" s="773" t="str">
        <f t="shared" si="133"/>
        <v>A</v>
      </c>
      <c r="AB131" s="773" t="str">
        <f t="shared" si="134"/>
        <v>A</v>
      </c>
      <c r="AC131" s="773" t="str">
        <f t="shared" si="134"/>
        <v>A</v>
      </c>
      <c r="AD131" s="876"/>
      <c r="AE131" s="863"/>
      <c r="AF131" s="870"/>
      <c r="AG131" s="1019"/>
      <c r="AH131" s="802"/>
      <c r="AI131" s="803"/>
    </row>
    <row r="132" spans="1:51" hidden="1" outlineLevel="1" x14ac:dyDescent="0.3">
      <c r="A132" s="159"/>
      <c r="B132" s="1191"/>
      <c r="C132" s="740" t="str">
        <f>'Optimalizačné opatrenia'!$B$13</f>
        <v>Proaktivita</v>
      </c>
      <c r="D132" s="788" t="s">
        <v>542</v>
      </c>
      <c r="E132" s="773" t="s">
        <v>542</v>
      </c>
      <c r="F132" s="773" t="s">
        <v>542</v>
      </c>
      <c r="G132" s="773" t="str">
        <f t="shared" si="120"/>
        <v>N</v>
      </c>
      <c r="H132" s="773"/>
      <c r="I132" s="773"/>
      <c r="J132" s="773"/>
      <c r="K132" s="773"/>
      <c r="L132" s="773" t="str">
        <f t="shared" si="121"/>
        <v>A</v>
      </c>
      <c r="M132" s="773" t="str">
        <f t="shared" si="121"/>
        <v>N</v>
      </c>
      <c r="N132" s="773" t="str">
        <f t="shared" si="122"/>
        <v>N</v>
      </c>
      <c r="O132" s="773"/>
      <c r="P132" s="773" t="str">
        <f t="shared" si="123"/>
        <v>N</v>
      </c>
      <c r="Q132" s="773" t="str">
        <f t="shared" si="123"/>
        <v>N</v>
      </c>
      <c r="R132" s="773" t="str">
        <f t="shared" si="124"/>
        <v>A</v>
      </c>
      <c r="S132" s="773" t="str">
        <f t="shared" si="125"/>
        <v>A</v>
      </c>
      <c r="T132" s="773" t="str">
        <f t="shared" si="126"/>
        <v>A</v>
      </c>
      <c r="U132" s="773" t="str">
        <f t="shared" si="127"/>
        <v>N</v>
      </c>
      <c r="V132" s="773" t="str">
        <f t="shared" si="128"/>
        <v>A</v>
      </c>
      <c r="W132" s="773" t="str">
        <f t="shared" si="129"/>
        <v>N</v>
      </c>
      <c r="X132" s="773" t="str">
        <f t="shared" si="130"/>
        <v>N</v>
      </c>
      <c r="Y132" s="773" t="str">
        <f t="shared" si="131"/>
        <v>A</v>
      </c>
      <c r="Z132" s="773" t="str">
        <f t="shared" si="132"/>
        <v>A</v>
      </c>
      <c r="AA132" s="773" t="str">
        <f t="shared" si="133"/>
        <v>A</v>
      </c>
      <c r="AB132" s="773" t="str">
        <f t="shared" si="134"/>
        <v>A</v>
      </c>
      <c r="AC132" s="773" t="str">
        <f t="shared" si="134"/>
        <v>A</v>
      </c>
      <c r="AD132" s="876"/>
      <c r="AE132" s="863"/>
      <c r="AF132" s="870"/>
      <c r="AG132" s="1019"/>
      <c r="AH132" s="802"/>
      <c r="AI132" s="803"/>
    </row>
    <row r="133" spans="1:51" hidden="1" outlineLevel="1" x14ac:dyDescent="0.3">
      <c r="A133" s="159"/>
      <c r="B133" s="790"/>
      <c r="C133" s="792" t="s">
        <v>550</v>
      </c>
      <c r="D133" s="793">
        <v>0</v>
      </c>
      <c r="E133" s="791">
        <v>0</v>
      </c>
      <c r="F133" s="794">
        <v>0</v>
      </c>
      <c r="G133" s="794">
        <f t="shared" si="120"/>
        <v>0.3</v>
      </c>
      <c r="H133" s="794"/>
      <c r="I133" s="794"/>
      <c r="J133" s="794"/>
      <c r="K133" s="794"/>
      <c r="L133" s="794">
        <f t="shared" si="121"/>
        <v>0.4</v>
      </c>
      <c r="M133" s="794">
        <f t="shared" si="121"/>
        <v>0.3</v>
      </c>
      <c r="N133" s="794">
        <f t="shared" si="122"/>
        <v>0.3</v>
      </c>
      <c r="O133" s="794"/>
      <c r="P133" s="794">
        <f t="shared" si="123"/>
        <v>0.45</v>
      </c>
      <c r="Q133" s="794">
        <f t="shared" si="123"/>
        <v>0.3</v>
      </c>
      <c r="R133" s="794">
        <f t="shared" si="124"/>
        <v>0.4</v>
      </c>
      <c r="S133" s="794">
        <f t="shared" si="125"/>
        <v>0.4</v>
      </c>
      <c r="T133" s="794">
        <f t="shared" si="126"/>
        <v>0.4</v>
      </c>
      <c r="U133" s="794">
        <f t="shared" si="127"/>
        <v>0.3</v>
      </c>
      <c r="V133" s="794">
        <f t="shared" si="128"/>
        <v>0.5</v>
      </c>
      <c r="W133" s="794">
        <f t="shared" si="129"/>
        <v>0.3</v>
      </c>
      <c r="X133" s="794">
        <f t="shared" si="130"/>
        <v>0.3</v>
      </c>
      <c r="Y133" s="794">
        <f t="shared" si="131"/>
        <v>0.4</v>
      </c>
      <c r="Z133" s="794">
        <f t="shared" si="132"/>
        <v>0.4</v>
      </c>
      <c r="AA133" s="794">
        <f t="shared" si="133"/>
        <v>0.5</v>
      </c>
      <c r="AB133" s="794">
        <f t="shared" si="134"/>
        <v>0.4</v>
      </c>
      <c r="AC133" s="794">
        <f t="shared" si="134"/>
        <v>0.4</v>
      </c>
      <c r="AD133" s="877"/>
      <c r="AE133" s="864"/>
      <c r="AF133" s="871"/>
      <c r="AG133" s="1020"/>
      <c r="AH133" s="805"/>
      <c r="AI133" s="806"/>
    </row>
    <row r="134" spans="1:51" ht="31.2" customHeight="1" collapsed="1" x14ac:dyDescent="0.3">
      <c r="A134" s="159">
        <f ca="1">OFFSET(A134,-14,0)+1</f>
        <v>10</v>
      </c>
      <c r="B134" s="234" t="str">
        <f ca="1">'Procesy - AS IS'!B35</f>
        <v>Meranie č. 10</v>
      </c>
      <c r="C134" s="718" t="str">
        <f>'Procesy - AS IS'!C35</f>
        <v>BIO-plus, s.r.o., Kontrola kvality palív, 1020/2018</v>
      </c>
      <c r="D134" s="796">
        <f>-'Procesy - AS IS'!D37*D147</f>
        <v>0</v>
      </c>
      <c r="E134" s="721">
        <f>-'Procesy - AS IS'!E37*E147</f>
        <v>0</v>
      </c>
      <c r="F134" s="721">
        <f>-'Procesy - AS IS'!F37*F147</f>
        <v>0</v>
      </c>
      <c r="G134" s="721">
        <f>-'Procesy - AS IS'!G37*G147</f>
        <v>-2.4</v>
      </c>
      <c r="H134" s="721" t="s">
        <v>568</v>
      </c>
      <c r="I134" s="721" t="s">
        <v>568</v>
      </c>
      <c r="J134" s="721" t="s">
        <v>568</v>
      </c>
      <c r="K134" s="721" t="s">
        <v>568</v>
      </c>
      <c r="L134" s="721">
        <f>-'Procesy - AS IS'!L37*L147</f>
        <v>-0.1</v>
      </c>
      <c r="M134" s="721">
        <f>-'Procesy - AS IS'!M37*M147</f>
        <v>-0.89999999999999991</v>
      </c>
      <c r="N134" s="721">
        <f>-'Procesy - AS IS'!N37*N147</f>
        <v>0</v>
      </c>
      <c r="O134" s="721" t="s">
        <v>572</v>
      </c>
      <c r="P134" s="721">
        <f>-'Procesy - AS IS'!P37*P147</f>
        <v>-0.45</v>
      </c>
      <c r="Q134" s="721">
        <f>-'Procesy - AS IS'!Q37*Q147</f>
        <v>0</v>
      </c>
      <c r="R134" s="721">
        <f>-'Procesy - AS IS'!R37*R147</f>
        <v>-0.23391812865497075</v>
      </c>
      <c r="S134" s="721">
        <f>-'Procesy - AS IS'!S37*S147</f>
        <v>-5.8245614035087732</v>
      </c>
      <c r="T134" s="721">
        <f>-'Procesy - AS IS'!T37*T147</f>
        <v>-9.3567251461988299E-2</v>
      </c>
      <c r="U134" s="721">
        <f>-'Procesy - AS IS'!U37*U147</f>
        <v>-2.3298245614035089</v>
      </c>
      <c r="V134" s="721">
        <f>-'Procesy - AS IS'!V37*V147</f>
        <v>-0.5</v>
      </c>
      <c r="W134" s="721">
        <f>-'Procesy - AS IS'!W37*W147</f>
        <v>-1.4035087719298244E-2</v>
      </c>
      <c r="X134" s="721">
        <f>-'Procesy - AS IS'!X37*X147</f>
        <v>0</v>
      </c>
      <c r="Y134" s="721">
        <f>-'Procesy - AS IS'!Y37*Y147</f>
        <v>-0.14970760233918129</v>
      </c>
      <c r="Z134" s="721">
        <f>-'Procesy - AS IS'!Z37*Z147</f>
        <v>-1.8713450292397661E-2</v>
      </c>
      <c r="AA134" s="721">
        <f>-'Procesy - AS IS'!AA37*AA147</f>
        <v>-4.6783625730994149E-2</v>
      </c>
      <c r="AB134" s="721">
        <f>-'Procesy - AS IS'!AB37*AB147</f>
        <v>-0.14970760233918129</v>
      </c>
      <c r="AC134" s="721">
        <f>-'Procesy - AS IS'!AC37*AC147</f>
        <v>-0.3742690058479532</v>
      </c>
      <c r="AD134" s="824">
        <f>SUM(D134:AC134)</f>
        <v>-13.585087719298246</v>
      </c>
      <c r="AE134" s="798">
        <f>AD134/'Procesy - AS IS'!AD37</f>
        <v>-0.35500286532951286</v>
      </c>
      <c r="AF134" s="869">
        <f>'Procesy - AS IS'!AG37/(1+$AE134)-'Procesy - AS IS'!AG37</f>
        <v>94.117456819958761</v>
      </c>
      <c r="AG134" s="1018">
        <f>'Procesy - AS IS'!AH37/(1+$AE134)-'Procesy - AS IS'!AH37</f>
        <v>2.7519724216362214</v>
      </c>
      <c r="AH134" s="800">
        <f>'Procesy - AS IS'!AI37/(1+$AE134)-'Procesy - AS IS'!AI37</f>
        <v>2.2015779373089766</v>
      </c>
      <c r="AI134" s="801">
        <f>'Procesy - AS IS'!AJ37/(1+$AE134)-'Procesy - AS IS'!AJ37</f>
        <v>2.2015779373089766</v>
      </c>
      <c r="AK134" s="232"/>
      <c r="AY134" s="227"/>
    </row>
    <row r="135" spans="1:51" hidden="1" outlineLevel="1" x14ac:dyDescent="0.3">
      <c r="A135" s="159"/>
      <c r="B135" s="1190" t="s">
        <v>540</v>
      </c>
      <c r="C135" s="735" t="str">
        <f>'Optimalizačné opatrenia'!$B$2</f>
        <v>Modernizácia</v>
      </c>
      <c r="D135" s="773" t="s">
        <v>542</v>
      </c>
      <c r="E135" s="742" t="s">
        <v>542</v>
      </c>
      <c r="F135" s="773" t="s">
        <v>542</v>
      </c>
      <c r="G135" s="773" t="str">
        <f t="shared" si="120"/>
        <v>A</v>
      </c>
      <c r="H135" s="773"/>
      <c r="I135" s="773"/>
      <c r="J135" s="773"/>
      <c r="K135" s="773"/>
      <c r="L135" s="773" t="str">
        <f t="shared" ref="L135:M135" si="135">L121</f>
        <v>A</v>
      </c>
      <c r="M135" s="773" t="str">
        <f t="shared" si="135"/>
        <v>A</v>
      </c>
      <c r="N135" s="773" t="str">
        <f t="shared" ref="N135:N147" si="136">G135</f>
        <v>A</v>
      </c>
      <c r="O135" s="773"/>
      <c r="P135" s="773" t="str">
        <f t="shared" ref="P135:Q135" si="137">P107</f>
        <v>A</v>
      </c>
      <c r="Q135" s="773" t="str">
        <f t="shared" si="137"/>
        <v>A</v>
      </c>
      <c r="R135" s="773" t="str">
        <f t="shared" si="124"/>
        <v>A</v>
      </c>
      <c r="S135" s="773" t="str">
        <f t="shared" ref="S135:S147" si="138">R135</f>
        <v>A</v>
      </c>
      <c r="T135" s="773" t="str">
        <f t="shared" ref="T135:T147" si="139">R107</f>
        <v>A</v>
      </c>
      <c r="U135" s="773" t="str">
        <f t="shared" si="127"/>
        <v>A</v>
      </c>
      <c r="V135" s="773" t="str">
        <f t="shared" si="128"/>
        <v>A</v>
      </c>
      <c r="W135" s="773" t="str">
        <f t="shared" ref="W135:W147" si="140">W21</f>
        <v>A</v>
      </c>
      <c r="X135" s="773" t="str">
        <f t="shared" si="130"/>
        <v>A</v>
      </c>
      <c r="Y135" s="773" t="str">
        <f t="shared" si="131"/>
        <v>A</v>
      </c>
      <c r="Z135" s="773" t="str">
        <f t="shared" ref="Z135:Z147" si="141">R107</f>
        <v>A</v>
      </c>
      <c r="AA135" s="773" t="str">
        <f t="shared" si="133"/>
        <v>A</v>
      </c>
      <c r="AB135" s="773" t="str">
        <f t="shared" si="134"/>
        <v>A</v>
      </c>
      <c r="AC135" s="773" t="str">
        <f t="shared" si="134"/>
        <v>A</v>
      </c>
      <c r="AD135" s="876"/>
      <c r="AE135" s="863"/>
      <c r="AF135" s="870"/>
      <c r="AG135" s="1019"/>
      <c r="AH135" s="802"/>
      <c r="AI135" s="803"/>
    </row>
    <row r="136" spans="1:51" hidden="1" outlineLevel="1" x14ac:dyDescent="0.3">
      <c r="A136" s="159"/>
      <c r="B136" s="1191"/>
      <c r="C136" s="735" t="str">
        <f>'Optimalizačné opatrenia'!$B$3</f>
        <v>Sfunkčnenie</v>
      </c>
      <c r="D136" s="788" t="s">
        <v>542</v>
      </c>
      <c r="E136" s="773" t="s">
        <v>542</v>
      </c>
      <c r="F136" s="773" t="s">
        <v>542</v>
      </c>
      <c r="G136" s="773" t="str">
        <f t="shared" si="120"/>
        <v>N</v>
      </c>
      <c r="H136" s="773"/>
      <c r="I136" s="773"/>
      <c r="J136" s="773"/>
      <c r="K136" s="773"/>
      <c r="L136" s="773" t="str">
        <f t="shared" ref="L136:M136" si="142">L122</f>
        <v>N</v>
      </c>
      <c r="M136" s="773" t="str">
        <f t="shared" si="142"/>
        <v>N</v>
      </c>
      <c r="N136" s="773" t="str">
        <f t="shared" si="136"/>
        <v>N</v>
      </c>
      <c r="O136" s="773"/>
      <c r="P136" s="773" t="str">
        <f t="shared" ref="P136:Q136" si="143">P108</f>
        <v>N</v>
      </c>
      <c r="Q136" s="773" t="str">
        <f t="shared" si="143"/>
        <v>N</v>
      </c>
      <c r="R136" s="773" t="str">
        <f t="shared" si="124"/>
        <v>N</v>
      </c>
      <c r="S136" s="773" t="str">
        <f t="shared" si="138"/>
        <v>N</v>
      </c>
      <c r="T136" s="773" t="str">
        <f t="shared" si="139"/>
        <v>N</v>
      </c>
      <c r="U136" s="773" t="str">
        <f t="shared" si="127"/>
        <v>N</v>
      </c>
      <c r="V136" s="773" t="str">
        <f t="shared" si="128"/>
        <v>N</v>
      </c>
      <c r="W136" s="773" t="str">
        <f t="shared" si="140"/>
        <v>N</v>
      </c>
      <c r="X136" s="773" t="str">
        <f t="shared" si="130"/>
        <v>N</v>
      </c>
      <c r="Y136" s="773" t="str">
        <f t="shared" si="131"/>
        <v>N</v>
      </c>
      <c r="Z136" s="773" t="str">
        <f t="shared" si="141"/>
        <v>N</v>
      </c>
      <c r="AA136" s="773" t="str">
        <f t="shared" si="133"/>
        <v>N</v>
      </c>
      <c r="AB136" s="773" t="str">
        <f t="shared" si="134"/>
        <v>N</v>
      </c>
      <c r="AC136" s="773" t="str">
        <f t="shared" si="134"/>
        <v>N</v>
      </c>
      <c r="AD136" s="876"/>
      <c r="AE136" s="863"/>
      <c r="AF136" s="870"/>
      <c r="AG136" s="1019"/>
      <c r="AH136" s="802"/>
      <c r="AI136" s="803"/>
    </row>
    <row r="137" spans="1:51" hidden="1" outlineLevel="1" x14ac:dyDescent="0.3">
      <c r="A137" s="159"/>
      <c r="B137" s="1191"/>
      <c r="C137" s="735" t="str">
        <f>'Optimalizačné opatrenia'!$B$4</f>
        <v>Zjednotenie</v>
      </c>
      <c r="D137" s="788" t="s">
        <v>542</v>
      </c>
      <c r="E137" s="773" t="s">
        <v>542</v>
      </c>
      <c r="F137" s="773" t="s">
        <v>542</v>
      </c>
      <c r="G137" s="773" t="str">
        <f t="shared" si="120"/>
        <v>A</v>
      </c>
      <c r="H137" s="773"/>
      <c r="I137" s="773"/>
      <c r="J137" s="773"/>
      <c r="K137" s="773"/>
      <c r="L137" s="773" t="str">
        <f t="shared" ref="L137:M137" si="144">L123</f>
        <v>A</v>
      </c>
      <c r="M137" s="773" t="str">
        <f t="shared" si="144"/>
        <v>A</v>
      </c>
      <c r="N137" s="773" t="str">
        <f t="shared" si="136"/>
        <v>A</v>
      </c>
      <c r="O137" s="773"/>
      <c r="P137" s="773" t="str">
        <f t="shared" ref="P137:Q137" si="145">P109</f>
        <v>A</v>
      </c>
      <c r="Q137" s="773" t="str">
        <f t="shared" si="145"/>
        <v>A</v>
      </c>
      <c r="R137" s="773" t="str">
        <f t="shared" si="124"/>
        <v>A</v>
      </c>
      <c r="S137" s="773" t="str">
        <f t="shared" si="138"/>
        <v>A</v>
      </c>
      <c r="T137" s="773" t="str">
        <f t="shared" si="139"/>
        <v>A</v>
      </c>
      <c r="U137" s="773" t="str">
        <f t="shared" si="127"/>
        <v>A</v>
      </c>
      <c r="V137" s="773" t="str">
        <f t="shared" si="128"/>
        <v>A</v>
      </c>
      <c r="W137" s="773" t="str">
        <f t="shared" si="140"/>
        <v>A</v>
      </c>
      <c r="X137" s="773" t="str">
        <f t="shared" si="130"/>
        <v>A</v>
      </c>
      <c r="Y137" s="773" t="str">
        <f t="shared" si="131"/>
        <v>A</v>
      </c>
      <c r="Z137" s="773" t="str">
        <f t="shared" si="141"/>
        <v>A</v>
      </c>
      <c r="AA137" s="773" t="str">
        <f t="shared" si="133"/>
        <v>A</v>
      </c>
      <c r="AB137" s="773" t="str">
        <f t="shared" ref="AB137:AC147" si="146">$R137</f>
        <v>A</v>
      </c>
      <c r="AC137" s="773" t="str">
        <f t="shared" si="146"/>
        <v>A</v>
      </c>
      <c r="AD137" s="876"/>
      <c r="AE137" s="863"/>
      <c r="AF137" s="870"/>
      <c r="AG137" s="1019"/>
      <c r="AH137" s="802"/>
      <c r="AI137" s="803"/>
    </row>
    <row r="138" spans="1:51" hidden="1" outlineLevel="1" x14ac:dyDescent="0.3">
      <c r="A138" s="159"/>
      <c r="B138" s="1191"/>
      <c r="C138" s="735" t="str">
        <f>'Optimalizačné opatrenia'!$B$5</f>
        <v>Centralizácia</v>
      </c>
      <c r="D138" s="788" t="s">
        <v>542</v>
      </c>
      <c r="E138" s="773" t="s">
        <v>542</v>
      </c>
      <c r="F138" s="773" t="s">
        <v>542</v>
      </c>
      <c r="G138" s="773" t="str">
        <f t="shared" si="120"/>
        <v>A</v>
      </c>
      <c r="H138" s="773"/>
      <c r="I138" s="773"/>
      <c r="J138" s="773"/>
      <c r="K138" s="773"/>
      <c r="L138" s="773" t="str">
        <f t="shared" ref="L138:M138" si="147">L124</f>
        <v>A</v>
      </c>
      <c r="M138" s="773" t="str">
        <f t="shared" si="147"/>
        <v>A</v>
      </c>
      <c r="N138" s="773" t="str">
        <f t="shared" si="136"/>
        <v>A</v>
      </c>
      <c r="O138" s="773"/>
      <c r="P138" s="773" t="str">
        <f t="shared" ref="P138:Q138" si="148">P110</f>
        <v>A</v>
      </c>
      <c r="Q138" s="773" t="str">
        <f t="shared" si="148"/>
        <v>A</v>
      </c>
      <c r="R138" s="773" t="str">
        <f t="shared" si="124"/>
        <v>A</v>
      </c>
      <c r="S138" s="773" t="str">
        <f t="shared" si="138"/>
        <v>A</v>
      </c>
      <c r="T138" s="773" t="str">
        <f t="shared" si="139"/>
        <v>A</v>
      </c>
      <c r="U138" s="773" t="str">
        <f t="shared" si="127"/>
        <v>A</v>
      </c>
      <c r="V138" s="773" t="str">
        <f t="shared" si="128"/>
        <v>A</v>
      </c>
      <c r="W138" s="773" t="str">
        <f t="shared" si="140"/>
        <v>A</v>
      </c>
      <c r="X138" s="773" t="str">
        <f t="shared" si="130"/>
        <v>A</v>
      </c>
      <c r="Y138" s="773" t="str">
        <f t="shared" si="131"/>
        <v>A</v>
      </c>
      <c r="Z138" s="773" t="str">
        <f t="shared" si="141"/>
        <v>A</v>
      </c>
      <c r="AA138" s="773" t="str">
        <f t="shared" si="133"/>
        <v>A</v>
      </c>
      <c r="AB138" s="773" t="str">
        <f t="shared" si="146"/>
        <v>A</v>
      </c>
      <c r="AC138" s="773" t="str">
        <f t="shared" si="146"/>
        <v>A</v>
      </c>
      <c r="AD138" s="876"/>
      <c r="AE138" s="863"/>
      <c r="AF138" s="870"/>
      <c r="AG138" s="1019"/>
      <c r="AH138" s="802"/>
      <c r="AI138" s="803"/>
    </row>
    <row r="139" spans="1:51" hidden="1" outlineLevel="1" x14ac:dyDescent="0.3">
      <c r="A139" s="159"/>
      <c r="B139" s="1191"/>
      <c r="C139" s="735" t="str">
        <f>'Optimalizačné opatrenia'!$B$6</f>
        <v>Elektronizácia</v>
      </c>
      <c r="D139" s="788" t="s">
        <v>542</v>
      </c>
      <c r="E139" s="773" t="s">
        <v>542</v>
      </c>
      <c r="F139" s="773" t="s">
        <v>542</v>
      </c>
      <c r="G139" s="773" t="str">
        <f t="shared" si="120"/>
        <v>A</v>
      </c>
      <c r="H139" s="773"/>
      <c r="I139" s="773"/>
      <c r="J139" s="773"/>
      <c r="K139" s="773"/>
      <c r="L139" s="773" t="str">
        <f t="shared" ref="L139:M139" si="149">L125</f>
        <v>A</v>
      </c>
      <c r="M139" s="773" t="str">
        <f t="shared" si="149"/>
        <v>A</v>
      </c>
      <c r="N139" s="773" t="str">
        <f t="shared" si="136"/>
        <v>A</v>
      </c>
      <c r="O139" s="773"/>
      <c r="P139" s="773" t="str">
        <f t="shared" ref="P139:Q139" si="150">P111</f>
        <v>A</v>
      </c>
      <c r="Q139" s="773" t="str">
        <f t="shared" si="150"/>
        <v>A</v>
      </c>
      <c r="R139" s="773" t="str">
        <f t="shared" si="124"/>
        <v>A</v>
      </c>
      <c r="S139" s="773" t="str">
        <f t="shared" si="138"/>
        <v>A</v>
      </c>
      <c r="T139" s="773" t="str">
        <f t="shared" si="139"/>
        <v>A</v>
      </c>
      <c r="U139" s="773" t="str">
        <f t="shared" si="127"/>
        <v>A</v>
      </c>
      <c r="V139" s="773" t="str">
        <f t="shared" si="128"/>
        <v>A</v>
      </c>
      <c r="W139" s="773" t="str">
        <f t="shared" si="140"/>
        <v>A</v>
      </c>
      <c r="X139" s="773" t="str">
        <f t="shared" si="130"/>
        <v>A</v>
      </c>
      <c r="Y139" s="773" t="str">
        <f t="shared" si="131"/>
        <v>A</v>
      </c>
      <c r="Z139" s="773" t="str">
        <f t="shared" si="141"/>
        <v>A</v>
      </c>
      <c r="AA139" s="773" t="str">
        <f t="shared" si="133"/>
        <v>A</v>
      </c>
      <c r="AB139" s="773" t="str">
        <f t="shared" si="146"/>
        <v>A</v>
      </c>
      <c r="AC139" s="773" t="str">
        <f t="shared" si="146"/>
        <v>A</v>
      </c>
      <c r="AD139" s="876"/>
      <c r="AE139" s="863"/>
      <c r="AF139" s="870"/>
      <c r="AG139" s="1019"/>
      <c r="AH139" s="802"/>
      <c r="AI139" s="803"/>
    </row>
    <row r="140" spans="1:51" hidden="1" outlineLevel="1" x14ac:dyDescent="0.3">
      <c r="A140" s="159"/>
      <c r="B140" s="1191"/>
      <c r="C140" s="735" t="str">
        <f>'Optimalizačné opatrenia'!$B$7</f>
        <v>Automatizácia</v>
      </c>
      <c r="D140" s="788" t="s">
        <v>542</v>
      </c>
      <c r="E140" s="773" t="s">
        <v>542</v>
      </c>
      <c r="F140" s="773" t="s">
        <v>542</v>
      </c>
      <c r="G140" s="773" t="str">
        <f t="shared" si="120"/>
        <v>A</v>
      </c>
      <c r="H140" s="773"/>
      <c r="I140" s="773"/>
      <c r="J140" s="773"/>
      <c r="K140" s="773"/>
      <c r="L140" s="773" t="str">
        <f t="shared" ref="L140:M140" si="151">L126</f>
        <v>A</v>
      </c>
      <c r="M140" s="773" t="str">
        <f t="shared" si="151"/>
        <v>A</v>
      </c>
      <c r="N140" s="773" t="str">
        <f t="shared" si="136"/>
        <v>A</v>
      </c>
      <c r="O140" s="773"/>
      <c r="P140" s="773" t="str">
        <f t="shared" ref="P140:Q140" si="152">P112</f>
        <v>A</v>
      </c>
      <c r="Q140" s="773" t="str">
        <f t="shared" si="152"/>
        <v>A</v>
      </c>
      <c r="R140" s="773" t="str">
        <f t="shared" si="124"/>
        <v>A</v>
      </c>
      <c r="S140" s="773" t="str">
        <f t="shared" si="138"/>
        <v>A</v>
      </c>
      <c r="T140" s="773" t="str">
        <f t="shared" si="139"/>
        <v>A</v>
      </c>
      <c r="U140" s="773" t="str">
        <f t="shared" si="127"/>
        <v>A</v>
      </c>
      <c r="V140" s="773" t="str">
        <f t="shared" si="128"/>
        <v>A</v>
      </c>
      <c r="W140" s="773" t="str">
        <f t="shared" si="140"/>
        <v>A</v>
      </c>
      <c r="X140" s="773" t="str">
        <f t="shared" si="130"/>
        <v>A</v>
      </c>
      <c r="Y140" s="773" t="str">
        <f t="shared" si="131"/>
        <v>A</v>
      </c>
      <c r="Z140" s="773" t="str">
        <f t="shared" si="141"/>
        <v>A</v>
      </c>
      <c r="AA140" s="773" t="str">
        <f t="shared" si="133"/>
        <v>A</v>
      </c>
      <c r="AB140" s="773" t="str">
        <f t="shared" si="146"/>
        <v>A</v>
      </c>
      <c r="AC140" s="773" t="str">
        <f t="shared" si="146"/>
        <v>A</v>
      </c>
      <c r="AD140" s="876"/>
      <c r="AE140" s="863"/>
      <c r="AF140" s="870"/>
      <c r="AG140" s="1019"/>
      <c r="AH140" s="802"/>
      <c r="AI140" s="803"/>
    </row>
    <row r="141" spans="1:51" hidden="1" outlineLevel="1" x14ac:dyDescent="0.3">
      <c r="A141" s="159"/>
      <c r="B141" s="1191"/>
      <c r="C141" s="735" t="str">
        <f>'Optimalizačné opatrenia'!$B$8</f>
        <v>Bezpečnosť</v>
      </c>
      <c r="D141" s="788" t="s">
        <v>542</v>
      </c>
      <c r="E141" s="773" t="s">
        <v>542</v>
      </c>
      <c r="F141" s="773" t="s">
        <v>542</v>
      </c>
      <c r="G141" s="773" t="str">
        <f t="shared" si="120"/>
        <v>A</v>
      </c>
      <c r="H141" s="773"/>
      <c r="I141" s="773"/>
      <c r="J141" s="773"/>
      <c r="K141" s="773"/>
      <c r="L141" s="773" t="str">
        <f t="shared" ref="L141:M141" si="153">L127</f>
        <v>A</v>
      </c>
      <c r="M141" s="773" t="str">
        <f t="shared" si="153"/>
        <v>A</v>
      </c>
      <c r="N141" s="773" t="str">
        <f t="shared" si="136"/>
        <v>A</v>
      </c>
      <c r="O141" s="773"/>
      <c r="P141" s="773" t="str">
        <f t="shared" ref="P141:Q141" si="154">P113</f>
        <v>A</v>
      </c>
      <c r="Q141" s="773" t="str">
        <f t="shared" si="154"/>
        <v>A</v>
      </c>
      <c r="R141" s="773" t="str">
        <f t="shared" si="124"/>
        <v>A</v>
      </c>
      <c r="S141" s="773" t="str">
        <f t="shared" si="138"/>
        <v>A</v>
      </c>
      <c r="T141" s="773" t="str">
        <f t="shared" si="139"/>
        <v>A</v>
      </c>
      <c r="U141" s="773" t="str">
        <f t="shared" si="127"/>
        <v>A</v>
      </c>
      <c r="V141" s="773" t="str">
        <f t="shared" si="128"/>
        <v>A</v>
      </c>
      <c r="W141" s="773" t="str">
        <f t="shared" si="140"/>
        <v>A</v>
      </c>
      <c r="X141" s="773" t="str">
        <f t="shared" si="130"/>
        <v>A</v>
      </c>
      <c r="Y141" s="773" t="str">
        <f t="shared" si="131"/>
        <v>A</v>
      </c>
      <c r="Z141" s="773" t="str">
        <f t="shared" si="141"/>
        <v>A</v>
      </c>
      <c r="AA141" s="773" t="str">
        <f t="shared" si="133"/>
        <v>A</v>
      </c>
      <c r="AB141" s="773" t="str">
        <f t="shared" si="146"/>
        <v>A</v>
      </c>
      <c r="AC141" s="773" t="str">
        <f t="shared" si="146"/>
        <v>A</v>
      </c>
      <c r="AD141" s="876"/>
      <c r="AE141" s="863"/>
      <c r="AF141" s="870"/>
      <c r="AG141" s="1019"/>
      <c r="AH141" s="802"/>
      <c r="AI141" s="803"/>
    </row>
    <row r="142" spans="1:51" hidden="1" outlineLevel="1" x14ac:dyDescent="0.3">
      <c r="A142" s="159"/>
      <c r="B142" s="1191"/>
      <c r="C142" s="735" t="str">
        <f>'Optimalizačné opatrenia'!$B$9</f>
        <v>Auditovateľnosť</v>
      </c>
      <c r="D142" s="788" t="s">
        <v>542</v>
      </c>
      <c r="E142" s="773" t="s">
        <v>542</v>
      </c>
      <c r="F142" s="773" t="s">
        <v>542</v>
      </c>
      <c r="G142" s="773" t="str">
        <f t="shared" si="120"/>
        <v>A</v>
      </c>
      <c r="H142" s="773"/>
      <c r="I142" s="773"/>
      <c r="J142" s="773"/>
      <c r="K142" s="773"/>
      <c r="L142" s="773" t="str">
        <f t="shared" ref="L142:M142" si="155">L128</f>
        <v>A</v>
      </c>
      <c r="M142" s="773" t="str">
        <f t="shared" si="155"/>
        <v>A</v>
      </c>
      <c r="N142" s="773" t="str">
        <f t="shared" si="136"/>
        <v>A</v>
      </c>
      <c r="O142" s="773"/>
      <c r="P142" s="773" t="str">
        <f t="shared" ref="P142:Q142" si="156">P114</f>
        <v>A</v>
      </c>
      <c r="Q142" s="773" t="str">
        <f t="shared" si="156"/>
        <v>A</v>
      </c>
      <c r="R142" s="773" t="str">
        <f t="shared" si="124"/>
        <v>A</v>
      </c>
      <c r="S142" s="773" t="str">
        <f t="shared" si="138"/>
        <v>A</v>
      </c>
      <c r="T142" s="773" t="str">
        <f t="shared" si="139"/>
        <v>A</v>
      </c>
      <c r="U142" s="773" t="str">
        <f t="shared" si="127"/>
        <v>A</v>
      </c>
      <c r="V142" s="773" t="str">
        <f t="shared" si="128"/>
        <v>A</v>
      </c>
      <c r="W142" s="773" t="str">
        <f t="shared" si="140"/>
        <v>A</v>
      </c>
      <c r="X142" s="773" t="str">
        <f t="shared" si="130"/>
        <v>A</v>
      </c>
      <c r="Y142" s="773" t="str">
        <f t="shared" si="131"/>
        <v>A</v>
      </c>
      <c r="Z142" s="773" t="str">
        <f t="shared" si="141"/>
        <v>A</v>
      </c>
      <c r="AA142" s="773" t="str">
        <f t="shared" si="133"/>
        <v>A</v>
      </c>
      <c r="AB142" s="773" t="str">
        <f t="shared" si="146"/>
        <v>A</v>
      </c>
      <c r="AC142" s="773" t="str">
        <f t="shared" si="146"/>
        <v>A</v>
      </c>
      <c r="AD142" s="876"/>
      <c r="AE142" s="863"/>
      <c r="AF142" s="870"/>
      <c r="AG142" s="1019"/>
      <c r="AH142" s="802"/>
      <c r="AI142" s="803"/>
    </row>
    <row r="143" spans="1:51" hidden="1" outlineLevel="1" x14ac:dyDescent="0.3">
      <c r="A143" s="159"/>
      <c r="B143" s="1191"/>
      <c r="C143" s="735" t="str">
        <f>'Optimalizačné opatrenia'!$B$10</f>
        <v>Transparentnosť</v>
      </c>
      <c r="D143" s="788" t="s">
        <v>542</v>
      </c>
      <c r="E143" s="773" t="s">
        <v>542</v>
      </c>
      <c r="F143" s="773" t="s">
        <v>542</v>
      </c>
      <c r="G143" s="773" t="str">
        <f t="shared" si="120"/>
        <v>N</v>
      </c>
      <c r="H143" s="773"/>
      <c r="I143" s="773"/>
      <c r="J143" s="773"/>
      <c r="K143" s="773"/>
      <c r="L143" s="773" t="str">
        <f t="shared" ref="L143:M143" si="157">L129</f>
        <v>N</v>
      </c>
      <c r="M143" s="773" t="str">
        <f t="shared" si="157"/>
        <v>N</v>
      </c>
      <c r="N143" s="773" t="str">
        <f t="shared" si="136"/>
        <v>N</v>
      </c>
      <c r="O143" s="773"/>
      <c r="P143" s="773" t="str">
        <f t="shared" ref="P143:Q143" si="158">P115</f>
        <v>A</v>
      </c>
      <c r="Q143" s="773" t="str">
        <f t="shared" si="158"/>
        <v>N</v>
      </c>
      <c r="R143" s="773" t="str">
        <f t="shared" si="124"/>
        <v>N</v>
      </c>
      <c r="S143" s="773" t="str">
        <f t="shared" si="138"/>
        <v>N</v>
      </c>
      <c r="T143" s="773" t="str">
        <f t="shared" si="139"/>
        <v>N</v>
      </c>
      <c r="U143" s="773" t="str">
        <f t="shared" si="127"/>
        <v>N</v>
      </c>
      <c r="V143" s="773" t="str">
        <f t="shared" si="128"/>
        <v>A</v>
      </c>
      <c r="W143" s="773" t="str">
        <f t="shared" si="140"/>
        <v>N</v>
      </c>
      <c r="X143" s="773" t="str">
        <f t="shared" si="130"/>
        <v>N</v>
      </c>
      <c r="Y143" s="773" t="str">
        <f t="shared" si="131"/>
        <v>N</v>
      </c>
      <c r="Z143" s="773" t="str">
        <f t="shared" si="141"/>
        <v>N</v>
      </c>
      <c r="AA143" s="773" t="str">
        <f t="shared" si="133"/>
        <v>A</v>
      </c>
      <c r="AB143" s="773" t="str">
        <f t="shared" si="146"/>
        <v>N</v>
      </c>
      <c r="AC143" s="773" t="str">
        <f t="shared" si="146"/>
        <v>N</v>
      </c>
      <c r="AD143" s="876"/>
      <c r="AE143" s="863"/>
      <c r="AF143" s="870"/>
      <c r="AG143" s="1019"/>
      <c r="AH143" s="802"/>
      <c r="AI143" s="803"/>
    </row>
    <row r="144" spans="1:51" hidden="1" outlineLevel="1" x14ac:dyDescent="0.3">
      <c r="A144" s="159"/>
      <c r="B144" s="1191"/>
      <c r="C144" s="735" t="str">
        <f>'Optimalizačné opatrenia'!$B$11</f>
        <v>Analyzovatelnosť</v>
      </c>
      <c r="D144" s="788" t="s">
        <v>542</v>
      </c>
      <c r="E144" s="773" t="s">
        <v>542</v>
      </c>
      <c r="F144" s="773" t="s">
        <v>542</v>
      </c>
      <c r="G144" s="773" t="str">
        <f t="shared" si="120"/>
        <v>A</v>
      </c>
      <c r="H144" s="773"/>
      <c r="I144" s="773"/>
      <c r="J144" s="773"/>
      <c r="K144" s="773"/>
      <c r="L144" s="773" t="str">
        <f t="shared" ref="L144:M144" si="159">L130</f>
        <v>A</v>
      </c>
      <c r="M144" s="773" t="str">
        <f t="shared" si="159"/>
        <v>A</v>
      </c>
      <c r="N144" s="773" t="str">
        <f t="shared" si="136"/>
        <v>A</v>
      </c>
      <c r="O144" s="773"/>
      <c r="P144" s="773" t="str">
        <f t="shared" ref="P144:Q144" si="160">P116</f>
        <v>A</v>
      </c>
      <c r="Q144" s="773" t="str">
        <f t="shared" si="160"/>
        <v>A</v>
      </c>
      <c r="R144" s="773" t="str">
        <f t="shared" si="124"/>
        <v>A</v>
      </c>
      <c r="S144" s="773" t="str">
        <f t="shared" si="138"/>
        <v>A</v>
      </c>
      <c r="T144" s="773" t="str">
        <f t="shared" si="139"/>
        <v>A</v>
      </c>
      <c r="U144" s="773" t="str">
        <f t="shared" si="127"/>
        <v>A</v>
      </c>
      <c r="V144" s="773" t="str">
        <f t="shared" si="128"/>
        <v>A</v>
      </c>
      <c r="W144" s="773" t="str">
        <f t="shared" si="140"/>
        <v>A</v>
      </c>
      <c r="X144" s="773" t="str">
        <f t="shared" si="130"/>
        <v>A</v>
      </c>
      <c r="Y144" s="773" t="str">
        <f t="shared" si="131"/>
        <v>A</v>
      </c>
      <c r="Z144" s="773" t="str">
        <f t="shared" si="141"/>
        <v>A</v>
      </c>
      <c r="AA144" s="773" t="str">
        <f t="shared" si="133"/>
        <v>A</v>
      </c>
      <c r="AB144" s="773" t="str">
        <f t="shared" si="146"/>
        <v>A</v>
      </c>
      <c r="AC144" s="773" t="str">
        <f t="shared" si="146"/>
        <v>A</v>
      </c>
      <c r="AD144" s="876"/>
      <c r="AE144" s="863"/>
      <c r="AF144" s="870"/>
      <c r="AG144" s="1019"/>
      <c r="AH144" s="802"/>
      <c r="AI144" s="803"/>
    </row>
    <row r="145" spans="1:51" hidden="1" outlineLevel="1" x14ac:dyDescent="0.3">
      <c r="A145" s="159"/>
      <c r="B145" s="1191"/>
      <c r="C145" s="735" t="str">
        <f>'Optimalizačné opatrenia'!$B$12</f>
        <v>Integrácia</v>
      </c>
      <c r="D145" s="788" t="s">
        <v>542</v>
      </c>
      <c r="E145" s="773" t="s">
        <v>542</v>
      </c>
      <c r="F145" s="773" t="s">
        <v>542</v>
      </c>
      <c r="G145" s="773" t="str">
        <f t="shared" si="120"/>
        <v>A</v>
      </c>
      <c r="H145" s="773"/>
      <c r="I145" s="773"/>
      <c r="J145" s="773"/>
      <c r="K145" s="773"/>
      <c r="L145" s="773" t="str">
        <f t="shared" ref="L145:M145" si="161">L131</f>
        <v>A</v>
      </c>
      <c r="M145" s="773" t="str">
        <f t="shared" si="161"/>
        <v>A</v>
      </c>
      <c r="N145" s="773" t="str">
        <f t="shared" si="136"/>
        <v>A</v>
      </c>
      <c r="O145" s="773"/>
      <c r="P145" s="773" t="str">
        <f t="shared" ref="P145:Q145" si="162">P117</f>
        <v>A</v>
      </c>
      <c r="Q145" s="773" t="str">
        <f t="shared" si="162"/>
        <v>A</v>
      </c>
      <c r="R145" s="773" t="str">
        <f t="shared" si="124"/>
        <v>A</v>
      </c>
      <c r="S145" s="773" t="str">
        <f t="shared" si="138"/>
        <v>A</v>
      </c>
      <c r="T145" s="773" t="str">
        <f t="shared" si="139"/>
        <v>A</v>
      </c>
      <c r="U145" s="773" t="str">
        <f t="shared" si="127"/>
        <v>A</v>
      </c>
      <c r="V145" s="773" t="str">
        <f t="shared" si="128"/>
        <v>A</v>
      </c>
      <c r="W145" s="773" t="str">
        <f t="shared" si="140"/>
        <v>A</v>
      </c>
      <c r="X145" s="773" t="str">
        <f t="shared" si="130"/>
        <v>A</v>
      </c>
      <c r="Y145" s="773" t="str">
        <f t="shared" si="131"/>
        <v>A</v>
      </c>
      <c r="Z145" s="773" t="str">
        <f t="shared" si="141"/>
        <v>A</v>
      </c>
      <c r="AA145" s="773" t="str">
        <f t="shared" si="133"/>
        <v>A</v>
      </c>
      <c r="AB145" s="773" t="str">
        <f t="shared" si="146"/>
        <v>A</v>
      </c>
      <c r="AC145" s="773" t="str">
        <f t="shared" si="146"/>
        <v>A</v>
      </c>
      <c r="AD145" s="876"/>
      <c r="AE145" s="863"/>
      <c r="AF145" s="870"/>
      <c r="AG145" s="1019"/>
      <c r="AH145" s="802"/>
      <c r="AI145" s="803"/>
    </row>
    <row r="146" spans="1:51" hidden="1" outlineLevel="1" x14ac:dyDescent="0.3">
      <c r="A146" s="159"/>
      <c r="B146" s="1191"/>
      <c r="C146" s="740" t="str">
        <f>'Optimalizačné opatrenia'!$B$13</f>
        <v>Proaktivita</v>
      </c>
      <c r="D146" s="788" t="s">
        <v>542</v>
      </c>
      <c r="E146" s="773" t="s">
        <v>542</v>
      </c>
      <c r="F146" s="773" t="s">
        <v>542</v>
      </c>
      <c r="G146" s="773" t="str">
        <f t="shared" si="120"/>
        <v>N</v>
      </c>
      <c r="H146" s="773"/>
      <c r="I146" s="773"/>
      <c r="J146" s="773"/>
      <c r="K146" s="773"/>
      <c r="L146" s="773" t="str">
        <f t="shared" ref="L146:M146" si="163">L132</f>
        <v>A</v>
      </c>
      <c r="M146" s="773" t="str">
        <f t="shared" si="163"/>
        <v>N</v>
      </c>
      <c r="N146" s="773" t="str">
        <f t="shared" si="136"/>
        <v>N</v>
      </c>
      <c r="O146" s="773"/>
      <c r="P146" s="773" t="str">
        <f t="shared" ref="P146:Q146" si="164">P118</f>
        <v>N</v>
      </c>
      <c r="Q146" s="773" t="str">
        <f t="shared" si="164"/>
        <v>N</v>
      </c>
      <c r="R146" s="773" t="str">
        <f t="shared" si="124"/>
        <v>A</v>
      </c>
      <c r="S146" s="773" t="str">
        <f t="shared" si="138"/>
        <v>A</v>
      </c>
      <c r="T146" s="773" t="str">
        <f t="shared" si="139"/>
        <v>A</v>
      </c>
      <c r="U146" s="773" t="str">
        <f t="shared" si="127"/>
        <v>N</v>
      </c>
      <c r="V146" s="773" t="str">
        <f t="shared" si="128"/>
        <v>A</v>
      </c>
      <c r="W146" s="773" t="str">
        <f t="shared" si="140"/>
        <v>N</v>
      </c>
      <c r="X146" s="773" t="str">
        <f t="shared" si="130"/>
        <v>N</v>
      </c>
      <c r="Y146" s="773" t="str">
        <f t="shared" si="131"/>
        <v>A</v>
      </c>
      <c r="Z146" s="773" t="str">
        <f t="shared" si="141"/>
        <v>A</v>
      </c>
      <c r="AA146" s="773" t="str">
        <f t="shared" si="133"/>
        <v>A</v>
      </c>
      <c r="AB146" s="773" t="str">
        <f t="shared" si="146"/>
        <v>A</v>
      </c>
      <c r="AC146" s="773" t="str">
        <f t="shared" si="146"/>
        <v>A</v>
      </c>
      <c r="AD146" s="876"/>
      <c r="AE146" s="863"/>
      <c r="AF146" s="870"/>
      <c r="AG146" s="1019"/>
      <c r="AH146" s="802"/>
      <c r="AI146" s="803"/>
    </row>
    <row r="147" spans="1:51" hidden="1" outlineLevel="1" x14ac:dyDescent="0.3">
      <c r="A147" s="159"/>
      <c r="B147" s="790"/>
      <c r="C147" s="792" t="s">
        <v>550</v>
      </c>
      <c r="D147" s="793">
        <v>0</v>
      </c>
      <c r="E147" s="791">
        <v>0</v>
      </c>
      <c r="F147" s="794">
        <v>0</v>
      </c>
      <c r="G147" s="794">
        <f t="shared" si="120"/>
        <v>0.3</v>
      </c>
      <c r="H147" s="794"/>
      <c r="I147" s="794"/>
      <c r="J147" s="794"/>
      <c r="K147" s="794"/>
      <c r="L147" s="794">
        <f t="shared" ref="L147:M147" si="165">L133</f>
        <v>0.4</v>
      </c>
      <c r="M147" s="794">
        <f t="shared" si="165"/>
        <v>0.3</v>
      </c>
      <c r="N147" s="794">
        <f t="shared" si="136"/>
        <v>0.3</v>
      </c>
      <c r="O147" s="794"/>
      <c r="P147" s="794">
        <f t="shared" ref="P147:Q147" si="166">P119</f>
        <v>0.45</v>
      </c>
      <c r="Q147" s="794">
        <f t="shared" si="166"/>
        <v>0.3</v>
      </c>
      <c r="R147" s="794">
        <f t="shared" si="124"/>
        <v>0.4</v>
      </c>
      <c r="S147" s="794">
        <f t="shared" si="138"/>
        <v>0.4</v>
      </c>
      <c r="T147" s="794">
        <f t="shared" si="139"/>
        <v>0.4</v>
      </c>
      <c r="U147" s="794">
        <f t="shared" si="127"/>
        <v>0.3</v>
      </c>
      <c r="V147" s="794">
        <f t="shared" si="128"/>
        <v>0.5</v>
      </c>
      <c r="W147" s="794">
        <f t="shared" si="140"/>
        <v>0.3</v>
      </c>
      <c r="X147" s="794">
        <f t="shared" si="130"/>
        <v>0.3</v>
      </c>
      <c r="Y147" s="794">
        <f t="shared" si="131"/>
        <v>0.4</v>
      </c>
      <c r="Z147" s="794">
        <f t="shared" si="141"/>
        <v>0.4</v>
      </c>
      <c r="AA147" s="794">
        <f t="shared" si="133"/>
        <v>0.5</v>
      </c>
      <c r="AB147" s="794">
        <f t="shared" si="146"/>
        <v>0.4</v>
      </c>
      <c r="AC147" s="794">
        <f t="shared" si="146"/>
        <v>0.4</v>
      </c>
      <c r="AD147" s="877"/>
      <c r="AE147" s="864"/>
      <c r="AF147" s="871"/>
      <c r="AG147" s="1020"/>
      <c r="AH147" s="805"/>
      <c r="AI147" s="806"/>
    </row>
    <row r="148" spans="1:51" ht="55.2" customHeight="1" collapsed="1" x14ac:dyDescent="0.3">
      <c r="A148" s="159">
        <f ca="1">OFFSET(A148,-14,0)+1</f>
        <v>11</v>
      </c>
      <c r="B148" s="234" t="str">
        <f ca="1">'Procesy - AS IS'!B38</f>
        <v>Meranie č. 11</v>
      </c>
      <c r="C148" s="718" t="str">
        <f>'Procesy - AS IS'!C38</f>
        <v>3U, s.r.o. Bratislava - výrobca regulovaných výrobkov, Kontrola kvality regulovaných výrobkov, 6765-25699/33/2018/Tom</v>
      </c>
      <c r="D148" s="796">
        <f>-'Procesy - AS IS'!D40*D161</f>
        <v>0</v>
      </c>
      <c r="E148" s="721">
        <f>-'Procesy - AS IS'!E40*E161</f>
        <v>0</v>
      </c>
      <c r="F148" s="721">
        <f>-'Procesy - AS IS'!F40*F161</f>
        <v>0</v>
      </c>
      <c r="G148" s="721">
        <f>-'Procesy - AS IS'!G40*G161</f>
        <v>-2.4</v>
      </c>
      <c r="H148" s="721" t="s">
        <v>568</v>
      </c>
      <c r="I148" s="721" t="s">
        <v>568</v>
      </c>
      <c r="J148" s="721" t="s">
        <v>568</v>
      </c>
      <c r="K148" s="721" t="s">
        <v>568</v>
      </c>
      <c r="L148" s="721">
        <f>-'Procesy - AS IS'!L40*L161</f>
        <v>-0.1</v>
      </c>
      <c r="M148" s="721">
        <f>-'Procesy - AS IS'!M40*M161</f>
        <v>-0.89999999999999991</v>
      </c>
      <c r="N148" s="721">
        <f>-'Procesy - AS IS'!N40*N161</f>
        <v>0</v>
      </c>
      <c r="O148" s="721" t="s">
        <v>572</v>
      </c>
      <c r="P148" s="721">
        <f>-'Procesy - AS IS'!P40*P161</f>
        <v>-0.45</v>
      </c>
      <c r="Q148" s="721">
        <f>-'Procesy - AS IS'!Q40*Q161</f>
        <v>0</v>
      </c>
      <c r="R148" s="721">
        <f>-'Procesy - AS IS'!R40*R161</f>
        <v>0</v>
      </c>
      <c r="S148" s="721">
        <f>-'Procesy - AS IS'!S40*S161</f>
        <v>-3.2</v>
      </c>
      <c r="T148" s="721">
        <f>-'Procesy - AS IS'!T40*T161</f>
        <v>0</v>
      </c>
      <c r="U148" s="721">
        <f>-'Procesy - AS IS'!U40*U161</f>
        <v>-2.4</v>
      </c>
      <c r="V148" s="721">
        <f>-'Procesy - AS IS'!V40*V161</f>
        <v>-0.5</v>
      </c>
      <c r="W148" s="721">
        <f>-'Procesy - AS IS'!W40*W161</f>
        <v>0</v>
      </c>
      <c r="X148" s="721">
        <f>-'Procesy - AS IS'!X40*X161</f>
        <v>0</v>
      </c>
      <c r="Y148" s="721">
        <f>-'Procesy - AS IS'!Y40*Y161</f>
        <v>0</v>
      </c>
      <c r="Z148" s="721">
        <f>-'Procesy - AS IS'!Z40*Z161</f>
        <v>0</v>
      </c>
      <c r="AA148" s="721">
        <f>-'Procesy - AS IS'!AA40*AA161</f>
        <v>0</v>
      </c>
      <c r="AB148" s="721">
        <f>-'Procesy - AS IS'!AB40*AB161</f>
        <v>0</v>
      </c>
      <c r="AC148" s="721">
        <f>-'Procesy - AS IS'!AC40*AC161</f>
        <v>0</v>
      </c>
      <c r="AD148" s="824">
        <f>SUM(D148:AC148)</f>
        <v>-9.9500000000000011</v>
      </c>
      <c r="AE148" s="798">
        <f>AD148/'Procesy - AS IS'!AD40</f>
        <v>-0.34017094017094018</v>
      </c>
      <c r="AF148" s="869">
        <f>('Procesy - AS IS'!AG40/(1+$AE148)-'Procesy - AS IS'!AG40)/2</f>
        <v>9.2797927461139906</v>
      </c>
      <c r="AG148" s="1018">
        <f>('Procesy - AS IS'!AH40/(1+$AE148)-'Procesy - AS IS'!AH40)/2</f>
        <v>0</v>
      </c>
      <c r="AH148" s="800">
        <f>('Procesy - AS IS'!AI40/(1+$AE148)-'Procesy - AS IS'!AI40)/2</f>
        <v>0</v>
      </c>
      <c r="AI148" s="801">
        <f>('Procesy - AS IS'!AJ40/(1+$AE148)-'Procesy - AS IS'!AJ40)/2</f>
        <v>0</v>
      </c>
      <c r="AK148" s="232"/>
      <c r="AY148" s="227"/>
    </row>
    <row r="149" spans="1:51" hidden="1" outlineLevel="1" x14ac:dyDescent="0.3">
      <c r="A149" s="159"/>
      <c r="B149" s="1190" t="s">
        <v>540</v>
      </c>
      <c r="C149" s="735" t="str">
        <f>'Optimalizačné opatrenia'!$B$2</f>
        <v>Modernizácia</v>
      </c>
      <c r="D149" s="773" t="s">
        <v>542</v>
      </c>
      <c r="E149" s="742" t="s">
        <v>542</v>
      </c>
      <c r="F149" s="773" t="s">
        <v>542</v>
      </c>
      <c r="G149" s="773" t="str">
        <f t="shared" si="120"/>
        <v>A</v>
      </c>
      <c r="H149" s="773"/>
      <c r="I149" s="773"/>
      <c r="J149" s="773"/>
      <c r="K149" s="773"/>
      <c r="L149" s="773" t="str">
        <f t="shared" ref="L149:M149" si="167">L135</f>
        <v>A</v>
      </c>
      <c r="M149" s="773" t="str">
        <f t="shared" si="167"/>
        <v>A</v>
      </c>
      <c r="N149" s="773" t="str">
        <f t="shared" ref="N149:N161" si="168">G149</f>
        <v>A</v>
      </c>
      <c r="O149" s="773"/>
      <c r="P149" s="773" t="str">
        <f t="shared" ref="P149:Q149" si="169">P121</f>
        <v>A</v>
      </c>
      <c r="Q149" s="773" t="str">
        <f t="shared" si="169"/>
        <v>A</v>
      </c>
      <c r="R149" s="773" t="str">
        <f t="shared" si="124"/>
        <v>A</v>
      </c>
      <c r="S149" s="773" t="str">
        <f t="shared" ref="S149:S161" si="170">R149</f>
        <v>A</v>
      </c>
      <c r="T149" s="773" t="str">
        <f t="shared" ref="T149:T161" si="171">R121</f>
        <v>A</v>
      </c>
      <c r="U149" s="773" t="str">
        <f t="shared" si="127"/>
        <v>A</v>
      </c>
      <c r="V149" s="773" t="str">
        <f t="shared" si="128"/>
        <v>A</v>
      </c>
      <c r="W149" s="773" t="str">
        <f t="shared" ref="W149:W161" si="172">W35</f>
        <v>A</v>
      </c>
      <c r="X149" s="773" t="str">
        <f t="shared" si="130"/>
        <v>A</v>
      </c>
      <c r="Y149" s="773" t="str">
        <f t="shared" si="131"/>
        <v>A</v>
      </c>
      <c r="Z149" s="773" t="str">
        <f t="shared" ref="Z149:Z161" si="173">R121</f>
        <v>A</v>
      </c>
      <c r="AA149" s="773" t="str">
        <f t="shared" si="133"/>
        <v>A</v>
      </c>
      <c r="AB149" s="773" t="str">
        <f t="shared" ref="AB149:AC161" si="174">$R149</f>
        <v>A</v>
      </c>
      <c r="AC149" s="773" t="str">
        <f t="shared" si="174"/>
        <v>A</v>
      </c>
      <c r="AD149" s="876"/>
      <c r="AE149" s="863"/>
      <c r="AF149" s="870"/>
      <c r="AG149" s="1019"/>
      <c r="AH149" s="802"/>
      <c r="AI149" s="803"/>
    </row>
    <row r="150" spans="1:51" hidden="1" outlineLevel="1" x14ac:dyDescent="0.3">
      <c r="A150" s="159"/>
      <c r="B150" s="1191"/>
      <c r="C150" s="735" t="str">
        <f>'Optimalizačné opatrenia'!$B$3</f>
        <v>Sfunkčnenie</v>
      </c>
      <c r="D150" s="788" t="s">
        <v>542</v>
      </c>
      <c r="E150" s="773" t="s">
        <v>542</v>
      </c>
      <c r="F150" s="773" t="s">
        <v>542</v>
      </c>
      <c r="G150" s="773" t="str">
        <f t="shared" si="120"/>
        <v>N</v>
      </c>
      <c r="H150" s="773"/>
      <c r="I150" s="773"/>
      <c r="J150" s="773"/>
      <c r="K150" s="773"/>
      <c r="L150" s="773" t="str">
        <f t="shared" ref="L150:M150" si="175">L136</f>
        <v>N</v>
      </c>
      <c r="M150" s="773" t="str">
        <f t="shared" si="175"/>
        <v>N</v>
      </c>
      <c r="N150" s="773" t="str">
        <f t="shared" si="168"/>
        <v>N</v>
      </c>
      <c r="O150" s="773"/>
      <c r="P150" s="773" t="str">
        <f t="shared" ref="P150:Q150" si="176">P122</f>
        <v>N</v>
      </c>
      <c r="Q150" s="773" t="str">
        <f t="shared" si="176"/>
        <v>N</v>
      </c>
      <c r="R150" s="773" t="str">
        <f t="shared" si="124"/>
        <v>N</v>
      </c>
      <c r="S150" s="773" t="str">
        <f t="shared" si="170"/>
        <v>N</v>
      </c>
      <c r="T150" s="773" t="str">
        <f t="shared" si="171"/>
        <v>N</v>
      </c>
      <c r="U150" s="773" t="str">
        <f t="shared" si="127"/>
        <v>N</v>
      </c>
      <c r="V150" s="773" t="str">
        <f t="shared" si="128"/>
        <v>N</v>
      </c>
      <c r="W150" s="773" t="str">
        <f t="shared" si="172"/>
        <v>N</v>
      </c>
      <c r="X150" s="773" t="str">
        <f t="shared" si="130"/>
        <v>N</v>
      </c>
      <c r="Y150" s="773" t="str">
        <f t="shared" si="131"/>
        <v>N</v>
      </c>
      <c r="Z150" s="773" t="str">
        <f t="shared" si="173"/>
        <v>N</v>
      </c>
      <c r="AA150" s="773" t="str">
        <f t="shared" si="133"/>
        <v>N</v>
      </c>
      <c r="AB150" s="773" t="str">
        <f t="shared" si="174"/>
        <v>N</v>
      </c>
      <c r="AC150" s="773" t="str">
        <f t="shared" si="174"/>
        <v>N</v>
      </c>
      <c r="AD150" s="876"/>
      <c r="AE150" s="863"/>
      <c r="AF150" s="870"/>
      <c r="AG150" s="1019"/>
      <c r="AH150" s="802"/>
      <c r="AI150" s="803"/>
    </row>
    <row r="151" spans="1:51" hidden="1" outlineLevel="1" x14ac:dyDescent="0.3">
      <c r="A151" s="159"/>
      <c r="B151" s="1191"/>
      <c r="C151" s="735" t="str">
        <f>'Optimalizačné opatrenia'!$B$4</f>
        <v>Zjednotenie</v>
      </c>
      <c r="D151" s="788" t="s">
        <v>542</v>
      </c>
      <c r="E151" s="773" t="s">
        <v>542</v>
      </c>
      <c r="F151" s="773" t="s">
        <v>542</v>
      </c>
      <c r="G151" s="773" t="str">
        <f t="shared" si="120"/>
        <v>A</v>
      </c>
      <c r="H151" s="773"/>
      <c r="I151" s="773"/>
      <c r="J151" s="773"/>
      <c r="K151" s="773"/>
      <c r="L151" s="773" t="str">
        <f t="shared" ref="L151:M151" si="177">L137</f>
        <v>A</v>
      </c>
      <c r="M151" s="773" t="str">
        <f t="shared" si="177"/>
        <v>A</v>
      </c>
      <c r="N151" s="773" t="str">
        <f t="shared" si="168"/>
        <v>A</v>
      </c>
      <c r="O151" s="773"/>
      <c r="P151" s="773" t="str">
        <f t="shared" ref="P151:Q151" si="178">P123</f>
        <v>A</v>
      </c>
      <c r="Q151" s="773" t="str">
        <f t="shared" si="178"/>
        <v>A</v>
      </c>
      <c r="R151" s="773" t="str">
        <f t="shared" si="124"/>
        <v>A</v>
      </c>
      <c r="S151" s="773" t="str">
        <f t="shared" si="170"/>
        <v>A</v>
      </c>
      <c r="T151" s="773" t="str">
        <f t="shared" si="171"/>
        <v>A</v>
      </c>
      <c r="U151" s="773" t="str">
        <f t="shared" si="127"/>
        <v>A</v>
      </c>
      <c r="V151" s="773" t="str">
        <f t="shared" si="128"/>
        <v>A</v>
      </c>
      <c r="W151" s="773" t="str">
        <f t="shared" si="172"/>
        <v>A</v>
      </c>
      <c r="X151" s="773" t="str">
        <f t="shared" si="130"/>
        <v>A</v>
      </c>
      <c r="Y151" s="773" t="str">
        <f t="shared" si="131"/>
        <v>A</v>
      </c>
      <c r="Z151" s="773" t="str">
        <f t="shared" si="173"/>
        <v>A</v>
      </c>
      <c r="AA151" s="773" t="str">
        <f t="shared" si="133"/>
        <v>A</v>
      </c>
      <c r="AB151" s="773" t="str">
        <f t="shared" si="174"/>
        <v>A</v>
      </c>
      <c r="AC151" s="773" t="str">
        <f t="shared" si="174"/>
        <v>A</v>
      </c>
      <c r="AD151" s="876"/>
      <c r="AE151" s="863"/>
      <c r="AF151" s="870"/>
      <c r="AG151" s="1019"/>
      <c r="AH151" s="802"/>
      <c r="AI151" s="803"/>
    </row>
    <row r="152" spans="1:51" hidden="1" outlineLevel="1" x14ac:dyDescent="0.3">
      <c r="A152" s="159"/>
      <c r="B152" s="1191"/>
      <c r="C152" s="735" t="str">
        <f>'Optimalizačné opatrenia'!$B$5</f>
        <v>Centralizácia</v>
      </c>
      <c r="D152" s="788" t="s">
        <v>542</v>
      </c>
      <c r="E152" s="773" t="s">
        <v>542</v>
      </c>
      <c r="F152" s="773" t="s">
        <v>542</v>
      </c>
      <c r="G152" s="773" t="str">
        <f t="shared" si="120"/>
        <v>A</v>
      </c>
      <c r="H152" s="773"/>
      <c r="I152" s="773"/>
      <c r="J152" s="773"/>
      <c r="K152" s="773"/>
      <c r="L152" s="773" t="str">
        <f t="shared" ref="L152:M152" si="179">L138</f>
        <v>A</v>
      </c>
      <c r="M152" s="773" t="str">
        <f t="shared" si="179"/>
        <v>A</v>
      </c>
      <c r="N152" s="773" t="str">
        <f t="shared" si="168"/>
        <v>A</v>
      </c>
      <c r="O152" s="773"/>
      <c r="P152" s="773" t="str">
        <f t="shared" ref="P152:Q152" si="180">P124</f>
        <v>A</v>
      </c>
      <c r="Q152" s="773" t="str">
        <f t="shared" si="180"/>
        <v>A</v>
      </c>
      <c r="R152" s="773" t="str">
        <f t="shared" si="124"/>
        <v>A</v>
      </c>
      <c r="S152" s="773" t="str">
        <f t="shared" si="170"/>
        <v>A</v>
      </c>
      <c r="T152" s="773" t="str">
        <f t="shared" si="171"/>
        <v>A</v>
      </c>
      <c r="U152" s="773" t="str">
        <f t="shared" si="127"/>
        <v>A</v>
      </c>
      <c r="V152" s="773" t="str">
        <f t="shared" si="128"/>
        <v>A</v>
      </c>
      <c r="W152" s="773" t="str">
        <f t="shared" si="172"/>
        <v>A</v>
      </c>
      <c r="X152" s="773" t="str">
        <f t="shared" si="130"/>
        <v>A</v>
      </c>
      <c r="Y152" s="773" t="str">
        <f t="shared" si="131"/>
        <v>A</v>
      </c>
      <c r="Z152" s="773" t="str">
        <f t="shared" si="173"/>
        <v>A</v>
      </c>
      <c r="AA152" s="773" t="str">
        <f t="shared" si="133"/>
        <v>A</v>
      </c>
      <c r="AB152" s="773" t="str">
        <f t="shared" si="174"/>
        <v>A</v>
      </c>
      <c r="AC152" s="773" t="str">
        <f t="shared" si="174"/>
        <v>A</v>
      </c>
      <c r="AD152" s="876"/>
      <c r="AE152" s="863"/>
      <c r="AF152" s="870"/>
      <c r="AG152" s="1019"/>
      <c r="AH152" s="802"/>
      <c r="AI152" s="803"/>
    </row>
    <row r="153" spans="1:51" hidden="1" outlineLevel="1" x14ac:dyDescent="0.3">
      <c r="A153" s="159"/>
      <c r="B153" s="1191"/>
      <c r="C153" s="735" t="str">
        <f>'Optimalizačné opatrenia'!$B$6</f>
        <v>Elektronizácia</v>
      </c>
      <c r="D153" s="788" t="s">
        <v>542</v>
      </c>
      <c r="E153" s="773" t="s">
        <v>542</v>
      </c>
      <c r="F153" s="773" t="s">
        <v>542</v>
      </c>
      <c r="G153" s="773" t="str">
        <f t="shared" si="120"/>
        <v>A</v>
      </c>
      <c r="H153" s="773"/>
      <c r="I153" s="773"/>
      <c r="J153" s="773"/>
      <c r="K153" s="773"/>
      <c r="L153" s="773" t="str">
        <f t="shared" ref="L153:M153" si="181">L139</f>
        <v>A</v>
      </c>
      <c r="M153" s="773" t="str">
        <f t="shared" si="181"/>
        <v>A</v>
      </c>
      <c r="N153" s="773" t="str">
        <f t="shared" si="168"/>
        <v>A</v>
      </c>
      <c r="O153" s="773"/>
      <c r="P153" s="773" t="str">
        <f t="shared" ref="P153:Q153" si="182">P125</f>
        <v>A</v>
      </c>
      <c r="Q153" s="773" t="str">
        <f t="shared" si="182"/>
        <v>A</v>
      </c>
      <c r="R153" s="773" t="str">
        <f t="shared" si="124"/>
        <v>A</v>
      </c>
      <c r="S153" s="773" t="str">
        <f t="shared" si="170"/>
        <v>A</v>
      </c>
      <c r="T153" s="773" t="str">
        <f t="shared" si="171"/>
        <v>A</v>
      </c>
      <c r="U153" s="773" t="str">
        <f t="shared" si="127"/>
        <v>A</v>
      </c>
      <c r="V153" s="773" t="str">
        <f t="shared" si="128"/>
        <v>A</v>
      </c>
      <c r="W153" s="773" t="str">
        <f t="shared" si="172"/>
        <v>A</v>
      </c>
      <c r="X153" s="773" t="str">
        <f t="shared" si="130"/>
        <v>A</v>
      </c>
      <c r="Y153" s="773" t="str">
        <f t="shared" si="131"/>
        <v>A</v>
      </c>
      <c r="Z153" s="773" t="str">
        <f t="shared" si="173"/>
        <v>A</v>
      </c>
      <c r="AA153" s="773" t="str">
        <f t="shared" si="133"/>
        <v>A</v>
      </c>
      <c r="AB153" s="773" t="str">
        <f t="shared" si="174"/>
        <v>A</v>
      </c>
      <c r="AC153" s="773" t="str">
        <f t="shared" si="174"/>
        <v>A</v>
      </c>
      <c r="AD153" s="876"/>
      <c r="AE153" s="863"/>
      <c r="AF153" s="870"/>
      <c r="AG153" s="1019"/>
      <c r="AH153" s="802"/>
      <c r="AI153" s="803"/>
    </row>
    <row r="154" spans="1:51" hidden="1" outlineLevel="1" x14ac:dyDescent="0.3">
      <c r="A154" s="159"/>
      <c r="B154" s="1191"/>
      <c r="C154" s="735" t="str">
        <f>'Optimalizačné opatrenia'!$B$7</f>
        <v>Automatizácia</v>
      </c>
      <c r="D154" s="788" t="s">
        <v>542</v>
      </c>
      <c r="E154" s="773" t="s">
        <v>542</v>
      </c>
      <c r="F154" s="773" t="s">
        <v>542</v>
      </c>
      <c r="G154" s="773" t="str">
        <f t="shared" si="120"/>
        <v>A</v>
      </c>
      <c r="H154" s="773"/>
      <c r="I154" s="773"/>
      <c r="J154" s="773"/>
      <c r="K154" s="773"/>
      <c r="L154" s="773" t="str">
        <f t="shared" ref="L154:M154" si="183">L140</f>
        <v>A</v>
      </c>
      <c r="M154" s="773" t="str">
        <f t="shared" si="183"/>
        <v>A</v>
      </c>
      <c r="N154" s="773" t="str">
        <f t="shared" si="168"/>
        <v>A</v>
      </c>
      <c r="O154" s="773"/>
      <c r="P154" s="773" t="str">
        <f t="shared" ref="P154:Q154" si="184">P126</f>
        <v>A</v>
      </c>
      <c r="Q154" s="773" t="str">
        <f t="shared" si="184"/>
        <v>A</v>
      </c>
      <c r="R154" s="773" t="str">
        <f t="shared" si="124"/>
        <v>A</v>
      </c>
      <c r="S154" s="773" t="str">
        <f t="shared" si="170"/>
        <v>A</v>
      </c>
      <c r="T154" s="773" t="str">
        <f t="shared" si="171"/>
        <v>A</v>
      </c>
      <c r="U154" s="773" t="str">
        <f t="shared" si="127"/>
        <v>A</v>
      </c>
      <c r="V154" s="773" t="str">
        <f t="shared" si="128"/>
        <v>A</v>
      </c>
      <c r="W154" s="773" t="str">
        <f t="shared" si="172"/>
        <v>A</v>
      </c>
      <c r="X154" s="773" t="str">
        <f t="shared" si="130"/>
        <v>A</v>
      </c>
      <c r="Y154" s="773" t="str">
        <f t="shared" si="131"/>
        <v>A</v>
      </c>
      <c r="Z154" s="773" t="str">
        <f t="shared" si="173"/>
        <v>A</v>
      </c>
      <c r="AA154" s="773" t="str">
        <f t="shared" si="133"/>
        <v>A</v>
      </c>
      <c r="AB154" s="773" t="str">
        <f t="shared" si="174"/>
        <v>A</v>
      </c>
      <c r="AC154" s="773" t="str">
        <f t="shared" si="174"/>
        <v>A</v>
      </c>
      <c r="AD154" s="876"/>
      <c r="AE154" s="863"/>
      <c r="AF154" s="870"/>
      <c r="AG154" s="1019"/>
      <c r="AH154" s="802"/>
      <c r="AI154" s="803"/>
    </row>
    <row r="155" spans="1:51" hidden="1" outlineLevel="1" x14ac:dyDescent="0.3">
      <c r="A155" s="159"/>
      <c r="B155" s="1191"/>
      <c r="C155" s="735" t="str">
        <f>'Optimalizačné opatrenia'!$B$8</f>
        <v>Bezpečnosť</v>
      </c>
      <c r="D155" s="788" t="s">
        <v>542</v>
      </c>
      <c r="E155" s="773" t="s">
        <v>542</v>
      </c>
      <c r="F155" s="773" t="s">
        <v>542</v>
      </c>
      <c r="G155" s="773" t="str">
        <f t="shared" si="120"/>
        <v>A</v>
      </c>
      <c r="H155" s="773"/>
      <c r="I155" s="773"/>
      <c r="J155" s="773"/>
      <c r="K155" s="773"/>
      <c r="L155" s="773" t="str">
        <f t="shared" ref="L155:M155" si="185">L141</f>
        <v>A</v>
      </c>
      <c r="M155" s="773" t="str">
        <f t="shared" si="185"/>
        <v>A</v>
      </c>
      <c r="N155" s="773" t="str">
        <f t="shared" si="168"/>
        <v>A</v>
      </c>
      <c r="O155" s="773"/>
      <c r="P155" s="773" t="str">
        <f t="shared" ref="P155:Q155" si="186">P127</f>
        <v>A</v>
      </c>
      <c r="Q155" s="773" t="str">
        <f t="shared" si="186"/>
        <v>A</v>
      </c>
      <c r="R155" s="773" t="str">
        <f t="shared" si="124"/>
        <v>A</v>
      </c>
      <c r="S155" s="773" t="str">
        <f t="shared" si="170"/>
        <v>A</v>
      </c>
      <c r="T155" s="773" t="str">
        <f t="shared" si="171"/>
        <v>A</v>
      </c>
      <c r="U155" s="773" t="str">
        <f t="shared" si="127"/>
        <v>A</v>
      </c>
      <c r="V155" s="773" t="str">
        <f t="shared" si="128"/>
        <v>A</v>
      </c>
      <c r="W155" s="773" t="str">
        <f t="shared" si="172"/>
        <v>A</v>
      </c>
      <c r="X155" s="773" t="str">
        <f t="shared" si="130"/>
        <v>A</v>
      </c>
      <c r="Y155" s="773" t="str">
        <f t="shared" si="131"/>
        <v>A</v>
      </c>
      <c r="Z155" s="773" t="str">
        <f t="shared" si="173"/>
        <v>A</v>
      </c>
      <c r="AA155" s="773" t="str">
        <f t="shared" si="133"/>
        <v>A</v>
      </c>
      <c r="AB155" s="773" t="str">
        <f t="shared" si="174"/>
        <v>A</v>
      </c>
      <c r="AC155" s="773" t="str">
        <f t="shared" si="174"/>
        <v>A</v>
      </c>
      <c r="AD155" s="876"/>
      <c r="AE155" s="863"/>
      <c r="AF155" s="870"/>
      <c r="AG155" s="1019"/>
      <c r="AH155" s="802"/>
      <c r="AI155" s="803"/>
    </row>
    <row r="156" spans="1:51" hidden="1" outlineLevel="1" x14ac:dyDescent="0.3">
      <c r="A156" s="159"/>
      <c r="B156" s="1191"/>
      <c r="C156" s="735" t="str">
        <f>'Optimalizačné opatrenia'!$B$9</f>
        <v>Auditovateľnosť</v>
      </c>
      <c r="D156" s="788" t="s">
        <v>542</v>
      </c>
      <c r="E156" s="773" t="s">
        <v>542</v>
      </c>
      <c r="F156" s="773" t="s">
        <v>542</v>
      </c>
      <c r="G156" s="773" t="str">
        <f t="shared" si="120"/>
        <v>A</v>
      </c>
      <c r="H156" s="773"/>
      <c r="I156" s="773"/>
      <c r="J156" s="773"/>
      <c r="K156" s="773"/>
      <c r="L156" s="773" t="str">
        <f t="shared" ref="L156:M156" si="187">L142</f>
        <v>A</v>
      </c>
      <c r="M156" s="773" t="str">
        <f t="shared" si="187"/>
        <v>A</v>
      </c>
      <c r="N156" s="773" t="str">
        <f t="shared" si="168"/>
        <v>A</v>
      </c>
      <c r="O156" s="773"/>
      <c r="P156" s="773" t="str">
        <f t="shared" ref="P156:Q156" si="188">P128</f>
        <v>A</v>
      </c>
      <c r="Q156" s="773" t="str">
        <f t="shared" si="188"/>
        <v>A</v>
      </c>
      <c r="R156" s="773" t="str">
        <f t="shared" si="124"/>
        <v>A</v>
      </c>
      <c r="S156" s="773" t="str">
        <f t="shared" si="170"/>
        <v>A</v>
      </c>
      <c r="T156" s="773" t="str">
        <f t="shared" si="171"/>
        <v>A</v>
      </c>
      <c r="U156" s="773" t="str">
        <f t="shared" si="127"/>
        <v>A</v>
      </c>
      <c r="V156" s="773" t="str">
        <f t="shared" si="128"/>
        <v>A</v>
      </c>
      <c r="W156" s="773" t="str">
        <f t="shared" si="172"/>
        <v>A</v>
      </c>
      <c r="X156" s="773" t="str">
        <f t="shared" si="130"/>
        <v>A</v>
      </c>
      <c r="Y156" s="773" t="str">
        <f t="shared" si="131"/>
        <v>A</v>
      </c>
      <c r="Z156" s="773" t="str">
        <f t="shared" si="173"/>
        <v>A</v>
      </c>
      <c r="AA156" s="773" t="str">
        <f t="shared" si="133"/>
        <v>A</v>
      </c>
      <c r="AB156" s="773" t="str">
        <f t="shared" si="174"/>
        <v>A</v>
      </c>
      <c r="AC156" s="773" t="str">
        <f t="shared" si="174"/>
        <v>A</v>
      </c>
      <c r="AD156" s="876"/>
      <c r="AE156" s="863"/>
      <c r="AF156" s="870"/>
      <c r="AG156" s="1019"/>
      <c r="AH156" s="802"/>
      <c r="AI156" s="803"/>
    </row>
    <row r="157" spans="1:51" hidden="1" outlineLevel="1" x14ac:dyDescent="0.3">
      <c r="A157" s="159"/>
      <c r="B157" s="1191"/>
      <c r="C157" s="735" t="str">
        <f>'Optimalizačné opatrenia'!$B$10</f>
        <v>Transparentnosť</v>
      </c>
      <c r="D157" s="788" t="s">
        <v>542</v>
      </c>
      <c r="E157" s="773" t="s">
        <v>542</v>
      </c>
      <c r="F157" s="773" t="s">
        <v>542</v>
      </c>
      <c r="G157" s="773" t="str">
        <f t="shared" si="120"/>
        <v>N</v>
      </c>
      <c r="H157" s="773"/>
      <c r="I157" s="773"/>
      <c r="J157" s="773"/>
      <c r="K157" s="773"/>
      <c r="L157" s="773" t="str">
        <f t="shared" ref="L157:M157" si="189">L143</f>
        <v>N</v>
      </c>
      <c r="M157" s="773" t="str">
        <f t="shared" si="189"/>
        <v>N</v>
      </c>
      <c r="N157" s="773" t="str">
        <f t="shared" si="168"/>
        <v>N</v>
      </c>
      <c r="O157" s="773"/>
      <c r="P157" s="773" t="str">
        <f t="shared" ref="P157:Q157" si="190">P129</f>
        <v>A</v>
      </c>
      <c r="Q157" s="773" t="str">
        <f t="shared" si="190"/>
        <v>N</v>
      </c>
      <c r="R157" s="773" t="str">
        <f t="shared" si="124"/>
        <v>N</v>
      </c>
      <c r="S157" s="773" t="str">
        <f t="shared" si="170"/>
        <v>N</v>
      </c>
      <c r="T157" s="773" t="str">
        <f t="shared" si="171"/>
        <v>N</v>
      </c>
      <c r="U157" s="773" t="str">
        <f t="shared" si="127"/>
        <v>N</v>
      </c>
      <c r="V157" s="773" t="str">
        <f t="shared" si="128"/>
        <v>A</v>
      </c>
      <c r="W157" s="773" t="str">
        <f t="shared" si="172"/>
        <v>N</v>
      </c>
      <c r="X157" s="773" t="str">
        <f t="shared" si="130"/>
        <v>N</v>
      </c>
      <c r="Y157" s="773" t="str">
        <f t="shared" si="131"/>
        <v>N</v>
      </c>
      <c r="Z157" s="773" t="str">
        <f t="shared" si="173"/>
        <v>N</v>
      </c>
      <c r="AA157" s="773" t="str">
        <f t="shared" si="133"/>
        <v>A</v>
      </c>
      <c r="AB157" s="773" t="str">
        <f t="shared" si="174"/>
        <v>N</v>
      </c>
      <c r="AC157" s="773" t="str">
        <f t="shared" si="174"/>
        <v>N</v>
      </c>
      <c r="AD157" s="876"/>
      <c r="AE157" s="863"/>
      <c r="AF157" s="870"/>
      <c r="AG157" s="1019"/>
      <c r="AH157" s="802"/>
      <c r="AI157" s="803"/>
    </row>
    <row r="158" spans="1:51" hidden="1" outlineLevel="1" x14ac:dyDescent="0.3">
      <c r="A158" s="159"/>
      <c r="B158" s="1191"/>
      <c r="C158" s="735" t="str">
        <f>'Optimalizačné opatrenia'!$B$11</f>
        <v>Analyzovatelnosť</v>
      </c>
      <c r="D158" s="788" t="s">
        <v>542</v>
      </c>
      <c r="E158" s="773" t="s">
        <v>542</v>
      </c>
      <c r="F158" s="773" t="s">
        <v>542</v>
      </c>
      <c r="G158" s="773" t="str">
        <f t="shared" si="120"/>
        <v>A</v>
      </c>
      <c r="H158" s="773"/>
      <c r="I158" s="773"/>
      <c r="J158" s="773"/>
      <c r="K158" s="773"/>
      <c r="L158" s="773" t="str">
        <f t="shared" ref="L158:M158" si="191">L144</f>
        <v>A</v>
      </c>
      <c r="M158" s="773" t="str">
        <f t="shared" si="191"/>
        <v>A</v>
      </c>
      <c r="N158" s="773" t="str">
        <f t="shared" si="168"/>
        <v>A</v>
      </c>
      <c r="O158" s="773"/>
      <c r="P158" s="773" t="str">
        <f t="shared" ref="P158:Q158" si="192">P130</f>
        <v>A</v>
      </c>
      <c r="Q158" s="773" t="str">
        <f t="shared" si="192"/>
        <v>A</v>
      </c>
      <c r="R158" s="773" t="str">
        <f t="shared" si="124"/>
        <v>A</v>
      </c>
      <c r="S158" s="773" t="str">
        <f t="shared" si="170"/>
        <v>A</v>
      </c>
      <c r="T158" s="773" t="str">
        <f t="shared" si="171"/>
        <v>A</v>
      </c>
      <c r="U158" s="773" t="str">
        <f t="shared" si="127"/>
        <v>A</v>
      </c>
      <c r="V158" s="773" t="str">
        <f t="shared" si="128"/>
        <v>A</v>
      </c>
      <c r="W158" s="773" t="str">
        <f t="shared" si="172"/>
        <v>A</v>
      </c>
      <c r="X158" s="773" t="str">
        <f t="shared" si="130"/>
        <v>A</v>
      </c>
      <c r="Y158" s="773" t="str">
        <f t="shared" si="131"/>
        <v>A</v>
      </c>
      <c r="Z158" s="773" t="str">
        <f t="shared" si="173"/>
        <v>A</v>
      </c>
      <c r="AA158" s="773" t="str">
        <f t="shared" si="133"/>
        <v>A</v>
      </c>
      <c r="AB158" s="773" t="str">
        <f t="shared" si="174"/>
        <v>A</v>
      </c>
      <c r="AC158" s="773" t="str">
        <f t="shared" si="174"/>
        <v>A</v>
      </c>
      <c r="AD158" s="876"/>
      <c r="AE158" s="863"/>
      <c r="AF158" s="870"/>
      <c r="AG158" s="1019"/>
      <c r="AH158" s="802"/>
      <c r="AI158" s="803"/>
    </row>
    <row r="159" spans="1:51" hidden="1" outlineLevel="1" x14ac:dyDescent="0.3">
      <c r="A159" s="159"/>
      <c r="B159" s="1191"/>
      <c r="C159" s="735" t="str">
        <f>'Optimalizačné opatrenia'!$B$12</f>
        <v>Integrácia</v>
      </c>
      <c r="D159" s="788" t="s">
        <v>542</v>
      </c>
      <c r="E159" s="773" t="s">
        <v>542</v>
      </c>
      <c r="F159" s="773" t="s">
        <v>542</v>
      </c>
      <c r="G159" s="773" t="str">
        <f t="shared" si="120"/>
        <v>A</v>
      </c>
      <c r="H159" s="773"/>
      <c r="I159" s="773"/>
      <c r="J159" s="773"/>
      <c r="K159" s="773"/>
      <c r="L159" s="773" t="str">
        <f t="shared" ref="L159:M159" si="193">L145</f>
        <v>A</v>
      </c>
      <c r="M159" s="773" t="str">
        <f t="shared" si="193"/>
        <v>A</v>
      </c>
      <c r="N159" s="773" t="str">
        <f t="shared" si="168"/>
        <v>A</v>
      </c>
      <c r="O159" s="773"/>
      <c r="P159" s="773" t="str">
        <f t="shared" ref="P159:Q159" si="194">P131</f>
        <v>A</v>
      </c>
      <c r="Q159" s="773" t="str">
        <f t="shared" si="194"/>
        <v>A</v>
      </c>
      <c r="R159" s="773" t="str">
        <f t="shared" si="124"/>
        <v>A</v>
      </c>
      <c r="S159" s="773" t="str">
        <f t="shared" si="170"/>
        <v>A</v>
      </c>
      <c r="T159" s="773" t="str">
        <f t="shared" si="171"/>
        <v>A</v>
      </c>
      <c r="U159" s="773" t="str">
        <f t="shared" si="127"/>
        <v>A</v>
      </c>
      <c r="V159" s="773" t="str">
        <f t="shared" si="128"/>
        <v>A</v>
      </c>
      <c r="W159" s="773" t="str">
        <f t="shared" si="172"/>
        <v>A</v>
      </c>
      <c r="X159" s="773" t="str">
        <f t="shared" si="130"/>
        <v>A</v>
      </c>
      <c r="Y159" s="773" t="str">
        <f t="shared" si="131"/>
        <v>A</v>
      </c>
      <c r="Z159" s="773" t="str">
        <f t="shared" si="173"/>
        <v>A</v>
      </c>
      <c r="AA159" s="773" t="str">
        <f t="shared" si="133"/>
        <v>A</v>
      </c>
      <c r="AB159" s="773" t="str">
        <f t="shared" si="174"/>
        <v>A</v>
      </c>
      <c r="AC159" s="773" t="str">
        <f t="shared" si="174"/>
        <v>A</v>
      </c>
      <c r="AD159" s="876"/>
      <c r="AE159" s="863"/>
      <c r="AF159" s="870"/>
      <c r="AG159" s="1019"/>
      <c r="AH159" s="802"/>
      <c r="AI159" s="803"/>
    </row>
    <row r="160" spans="1:51" hidden="1" outlineLevel="1" x14ac:dyDescent="0.3">
      <c r="A160" s="159"/>
      <c r="B160" s="1191"/>
      <c r="C160" s="740" t="str">
        <f>'Optimalizačné opatrenia'!$B$13</f>
        <v>Proaktivita</v>
      </c>
      <c r="D160" s="788" t="s">
        <v>542</v>
      </c>
      <c r="E160" s="773" t="s">
        <v>542</v>
      </c>
      <c r="F160" s="773" t="s">
        <v>542</v>
      </c>
      <c r="G160" s="773" t="str">
        <f t="shared" si="120"/>
        <v>N</v>
      </c>
      <c r="H160" s="773"/>
      <c r="I160" s="773"/>
      <c r="J160" s="773"/>
      <c r="K160" s="773"/>
      <c r="L160" s="773" t="str">
        <f t="shared" ref="L160:M160" si="195">L146</f>
        <v>A</v>
      </c>
      <c r="M160" s="773" t="str">
        <f t="shared" si="195"/>
        <v>N</v>
      </c>
      <c r="N160" s="773" t="str">
        <f t="shared" si="168"/>
        <v>N</v>
      </c>
      <c r="O160" s="773"/>
      <c r="P160" s="773" t="str">
        <f t="shared" ref="P160:Q160" si="196">P132</f>
        <v>N</v>
      </c>
      <c r="Q160" s="773" t="str">
        <f t="shared" si="196"/>
        <v>N</v>
      </c>
      <c r="R160" s="773" t="str">
        <f t="shared" si="124"/>
        <v>A</v>
      </c>
      <c r="S160" s="773" t="str">
        <f t="shared" si="170"/>
        <v>A</v>
      </c>
      <c r="T160" s="773" t="str">
        <f t="shared" si="171"/>
        <v>A</v>
      </c>
      <c r="U160" s="773" t="str">
        <f t="shared" si="127"/>
        <v>N</v>
      </c>
      <c r="V160" s="773" t="str">
        <f t="shared" si="128"/>
        <v>A</v>
      </c>
      <c r="W160" s="773" t="str">
        <f t="shared" si="172"/>
        <v>N</v>
      </c>
      <c r="X160" s="773" t="str">
        <f t="shared" si="130"/>
        <v>N</v>
      </c>
      <c r="Y160" s="773" t="str">
        <f t="shared" si="131"/>
        <v>A</v>
      </c>
      <c r="Z160" s="773" t="str">
        <f t="shared" si="173"/>
        <v>A</v>
      </c>
      <c r="AA160" s="773" t="str">
        <f t="shared" si="133"/>
        <v>A</v>
      </c>
      <c r="AB160" s="773" t="str">
        <f t="shared" si="174"/>
        <v>A</v>
      </c>
      <c r="AC160" s="773" t="str">
        <f t="shared" si="174"/>
        <v>A</v>
      </c>
      <c r="AD160" s="876"/>
      <c r="AE160" s="863"/>
      <c r="AF160" s="870"/>
      <c r="AG160" s="1019"/>
      <c r="AH160" s="802"/>
      <c r="AI160" s="803"/>
    </row>
    <row r="161" spans="1:51" hidden="1" outlineLevel="1" x14ac:dyDescent="0.3">
      <c r="A161" s="159"/>
      <c r="B161" s="790"/>
      <c r="C161" s="792" t="s">
        <v>550</v>
      </c>
      <c r="D161" s="793">
        <v>0</v>
      </c>
      <c r="E161" s="791">
        <v>0</v>
      </c>
      <c r="F161" s="794">
        <v>0</v>
      </c>
      <c r="G161" s="794">
        <f t="shared" si="120"/>
        <v>0.3</v>
      </c>
      <c r="H161" s="794"/>
      <c r="I161" s="794"/>
      <c r="J161" s="794"/>
      <c r="K161" s="794"/>
      <c r="L161" s="794">
        <f t="shared" ref="L161:M161" si="197">L147</f>
        <v>0.4</v>
      </c>
      <c r="M161" s="794">
        <f t="shared" si="197"/>
        <v>0.3</v>
      </c>
      <c r="N161" s="794">
        <f t="shared" si="168"/>
        <v>0.3</v>
      </c>
      <c r="O161" s="794"/>
      <c r="P161" s="794">
        <f t="shared" ref="P161:Q161" si="198">P133</f>
        <v>0.45</v>
      </c>
      <c r="Q161" s="794">
        <f t="shared" si="198"/>
        <v>0.3</v>
      </c>
      <c r="R161" s="794">
        <f t="shared" si="124"/>
        <v>0.4</v>
      </c>
      <c r="S161" s="794">
        <f t="shared" si="170"/>
        <v>0.4</v>
      </c>
      <c r="T161" s="794">
        <f t="shared" si="171"/>
        <v>0.4</v>
      </c>
      <c r="U161" s="794">
        <f t="shared" si="127"/>
        <v>0.3</v>
      </c>
      <c r="V161" s="794">
        <f t="shared" si="128"/>
        <v>0.5</v>
      </c>
      <c r="W161" s="794">
        <f t="shared" si="172"/>
        <v>0.3</v>
      </c>
      <c r="X161" s="794">
        <f t="shared" si="130"/>
        <v>0.3</v>
      </c>
      <c r="Y161" s="794">
        <f t="shared" si="131"/>
        <v>0.4</v>
      </c>
      <c r="Z161" s="794">
        <f t="shared" si="173"/>
        <v>0.4</v>
      </c>
      <c r="AA161" s="794">
        <f t="shared" si="133"/>
        <v>0.5</v>
      </c>
      <c r="AB161" s="794">
        <f t="shared" si="174"/>
        <v>0.4</v>
      </c>
      <c r="AC161" s="794">
        <f t="shared" si="174"/>
        <v>0.4</v>
      </c>
      <c r="AD161" s="877"/>
      <c r="AE161" s="864"/>
      <c r="AF161" s="871"/>
      <c r="AG161" s="1020"/>
      <c r="AH161" s="805"/>
      <c r="AI161" s="806"/>
    </row>
    <row r="162" spans="1:51" ht="43.2" collapsed="1" x14ac:dyDescent="0.3">
      <c r="A162" s="159">
        <f ca="1">OFFSET(A162,-14,0)+1</f>
        <v>12</v>
      </c>
      <c r="B162" s="234" t="str">
        <f ca="1">'Procesy - AS IS'!B41</f>
        <v>Meranie č. 12</v>
      </c>
      <c r="C162" s="718" t="str">
        <f>'Procesy - AS IS'!C41</f>
        <v>Color de Luxe, s.r.o. Bratislava, Kontrola kvality regulovaných výrobkov, 4083-9829/33/2018/Tom</v>
      </c>
      <c r="D162" s="796">
        <f>-'Procesy - AS IS'!D43*D175</f>
        <v>0</v>
      </c>
      <c r="E162" s="721">
        <f>-'Procesy - AS IS'!E43*E175</f>
        <v>0</v>
      </c>
      <c r="F162" s="721">
        <f>-'Procesy - AS IS'!F43*F175</f>
        <v>0</v>
      </c>
      <c r="G162" s="721">
        <f>-'Procesy - AS IS'!G43*G175</f>
        <v>-2.4</v>
      </c>
      <c r="H162" s="721" t="s">
        <v>568</v>
      </c>
      <c r="I162" s="721" t="s">
        <v>568</v>
      </c>
      <c r="J162" s="721" t="s">
        <v>568</v>
      </c>
      <c r="K162" s="721" t="s">
        <v>568</v>
      </c>
      <c r="L162" s="721">
        <f>-'Procesy - AS IS'!L43*L175</f>
        <v>-0.1</v>
      </c>
      <c r="M162" s="721">
        <f>-'Procesy - AS IS'!M43*M175</f>
        <v>-0.89999999999999991</v>
      </c>
      <c r="N162" s="721">
        <f>-'Procesy - AS IS'!N43*N175</f>
        <v>0</v>
      </c>
      <c r="O162" s="721" t="s">
        <v>572</v>
      </c>
      <c r="P162" s="721">
        <f>-'Procesy - AS IS'!P43*P175</f>
        <v>-0.45</v>
      </c>
      <c r="Q162" s="721">
        <f>-'Procesy - AS IS'!Q43*Q175</f>
        <v>0</v>
      </c>
      <c r="R162" s="721">
        <f>-'Procesy - AS IS'!R43*R175</f>
        <v>0</v>
      </c>
      <c r="S162" s="721">
        <f>-'Procesy - AS IS'!S43*S175</f>
        <v>-3.2</v>
      </c>
      <c r="T162" s="721">
        <f>-'Procesy - AS IS'!T43*T175</f>
        <v>0</v>
      </c>
      <c r="U162" s="721">
        <f>-'Procesy - AS IS'!U43*U175</f>
        <v>-2.4</v>
      </c>
      <c r="V162" s="721">
        <f>-'Procesy - AS IS'!V43*V175</f>
        <v>-0.5</v>
      </c>
      <c r="W162" s="721">
        <f>-'Procesy - AS IS'!W43*W175</f>
        <v>0</v>
      </c>
      <c r="X162" s="721">
        <f>-'Procesy - AS IS'!X43*X175</f>
        <v>0</v>
      </c>
      <c r="Y162" s="721">
        <f>-'Procesy - AS IS'!Y43*Y175</f>
        <v>0</v>
      </c>
      <c r="Z162" s="721">
        <f>-'Procesy - AS IS'!Z43*Z175</f>
        <v>0</v>
      </c>
      <c r="AA162" s="721">
        <f>-'Procesy - AS IS'!AA43*AA175</f>
        <v>0</v>
      </c>
      <c r="AB162" s="721">
        <f>-'Procesy - AS IS'!AB43*AB175</f>
        <v>0</v>
      </c>
      <c r="AC162" s="721">
        <f>-'Procesy - AS IS'!AC43*AC175</f>
        <v>0</v>
      </c>
      <c r="AD162" s="824">
        <f>SUM(D162:AC162)</f>
        <v>-9.9500000000000011</v>
      </c>
      <c r="AE162" s="798">
        <f>AD162/'Procesy - AS IS'!AD43</f>
        <v>-0.34017094017094018</v>
      </c>
      <c r="AF162" s="869">
        <f>('Procesy - AS IS'!AG40/(1+$AE162)-'Procesy - AS IS'!AG40)/2</f>
        <v>9.2797927461139906</v>
      </c>
      <c r="AG162" s="1018">
        <f>('Procesy - AS IS'!AH40/(1+$AE162)-'Procesy - AS IS'!AH40)/2</f>
        <v>0</v>
      </c>
      <c r="AH162" s="800">
        <f>('Procesy - AS IS'!AI40/(1+$AE162)-'Procesy - AS IS'!AI40)/2</f>
        <v>0</v>
      </c>
      <c r="AI162" s="801">
        <f>('Procesy - AS IS'!AJ40/(1+$AE162)-'Procesy - AS IS'!AJ40)/2</f>
        <v>0</v>
      </c>
      <c r="AK162" s="232"/>
      <c r="AY162" s="227"/>
    </row>
    <row r="163" spans="1:51" hidden="1" outlineLevel="1" x14ac:dyDescent="0.3">
      <c r="A163" s="159"/>
      <c r="B163" s="1190" t="s">
        <v>540</v>
      </c>
      <c r="C163" s="735" t="str">
        <f>'Optimalizačné opatrenia'!$B$2</f>
        <v>Modernizácia</v>
      </c>
      <c r="D163" s="741" t="s">
        <v>542</v>
      </c>
      <c r="E163" s="742" t="s">
        <v>542</v>
      </c>
      <c r="F163" s="773" t="s">
        <v>542</v>
      </c>
      <c r="G163" s="773" t="str">
        <f t="shared" ref="G163:G175" si="199">G93</f>
        <v>A</v>
      </c>
      <c r="H163" s="773"/>
      <c r="I163" s="773"/>
      <c r="J163" s="773"/>
      <c r="K163" s="773"/>
      <c r="L163" s="773" t="str">
        <f t="shared" ref="L163:M175" si="200">L121</f>
        <v>A</v>
      </c>
      <c r="M163" s="773" t="str">
        <f t="shared" si="200"/>
        <v>A</v>
      </c>
      <c r="N163" s="773" t="s">
        <v>542</v>
      </c>
      <c r="O163" s="773"/>
      <c r="P163" s="773" t="str">
        <f t="shared" ref="P163:R175" si="201">P93</f>
        <v>A</v>
      </c>
      <c r="Q163" s="773" t="str">
        <f t="shared" si="201"/>
        <v>A</v>
      </c>
      <c r="R163" s="773" t="str">
        <f t="shared" si="201"/>
        <v>A</v>
      </c>
      <c r="S163" s="773" t="str">
        <f t="shared" ref="S163:S175" si="202">R163</f>
        <v>A</v>
      </c>
      <c r="T163" s="773" t="str">
        <f t="shared" ref="T163:T175" si="203">R163</f>
        <v>A</v>
      </c>
      <c r="U163" s="773" t="str">
        <f t="shared" ref="U163:U175" si="204">G121</f>
        <v>A</v>
      </c>
      <c r="V163" s="773" t="str">
        <f t="shared" ref="V163:V175" si="205">V93</f>
        <v>A</v>
      </c>
      <c r="W163" s="773" t="str">
        <f t="shared" ref="W163:W175" si="206">W7</f>
        <v>A</v>
      </c>
      <c r="X163" s="773" t="str">
        <f t="shared" ref="X163:X175" si="207">G163</f>
        <v>A</v>
      </c>
      <c r="Y163" s="773" t="str">
        <f t="shared" ref="Y163:Y175" si="208">R163</f>
        <v>A</v>
      </c>
      <c r="Z163" s="773" t="str">
        <f t="shared" ref="Z163:Z175" si="209">R163</f>
        <v>A</v>
      </c>
      <c r="AA163" s="773" t="str">
        <f t="shared" ref="AA163:AA175" si="210">$V163</f>
        <v>A</v>
      </c>
      <c r="AB163" s="773" t="str">
        <f t="shared" ref="AB163:AB175" si="211">G163</f>
        <v>A</v>
      </c>
      <c r="AC163" s="773" t="str">
        <f t="shared" ref="AC163:AC175" si="212">R163</f>
        <v>A</v>
      </c>
      <c r="AD163" s="876"/>
      <c r="AE163" s="863"/>
      <c r="AF163" s="870"/>
      <c r="AG163" s="1019"/>
      <c r="AH163" s="802"/>
      <c r="AI163" s="803"/>
    </row>
    <row r="164" spans="1:51" hidden="1" outlineLevel="1" x14ac:dyDescent="0.3">
      <c r="A164" s="159"/>
      <c r="B164" s="1191"/>
      <c r="C164" s="735" t="str">
        <f>'Optimalizačné opatrenia'!$B$3</f>
        <v>Sfunkčnenie</v>
      </c>
      <c r="D164" s="788" t="s">
        <v>542</v>
      </c>
      <c r="E164" s="773" t="s">
        <v>542</v>
      </c>
      <c r="F164" s="773" t="s">
        <v>542</v>
      </c>
      <c r="G164" s="773" t="str">
        <f t="shared" si="199"/>
        <v>N</v>
      </c>
      <c r="H164" s="773"/>
      <c r="I164" s="773"/>
      <c r="J164" s="773"/>
      <c r="K164" s="773"/>
      <c r="L164" s="773" t="str">
        <f t="shared" si="200"/>
        <v>N</v>
      </c>
      <c r="M164" s="773" t="str">
        <f t="shared" si="200"/>
        <v>N</v>
      </c>
      <c r="N164" s="773" t="s">
        <v>542</v>
      </c>
      <c r="O164" s="773"/>
      <c r="P164" s="773" t="str">
        <f t="shared" si="201"/>
        <v>N</v>
      </c>
      <c r="Q164" s="773" t="str">
        <f t="shared" si="201"/>
        <v>N</v>
      </c>
      <c r="R164" s="773" t="str">
        <f t="shared" si="201"/>
        <v>N</v>
      </c>
      <c r="S164" s="773" t="str">
        <f t="shared" si="202"/>
        <v>N</v>
      </c>
      <c r="T164" s="773" t="str">
        <f t="shared" si="203"/>
        <v>N</v>
      </c>
      <c r="U164" s="773" t="str">
        <f t="shared" si="204"/>
        <v>N</v>
      </c>
      <c r="V164" s="773" t="str">
        <f t="shared" si="205"/>
        <v>N</v>
      </c>
      <c r="W164" s="773" t="str">
        <f t="shared" si="206"/>
        <v>N</v>
      </c>
      <c r="X164" s="773" t="str">
        <f t="shared" si="207"/>
        <v>N</v>
      </c>
      <c r="Y164" s="773" t="str">
        <f t="shared" si="208"/>
        <v>N</v>
      </c>
      <c r="Z164" s="773" t="str">
        <f t="shared" si="209"/>
        <v>N</v>
      </c>
      <c r="AA164" s="773" t="str">
        <f t="shared" si="210"/>
        <v>N</v>
      </c>
      <c r="AB164" s="773" t="str">
        <f t="shared" si="211"/>
        <v>N</v>
      </c>
      <c r="AC164" s="773" t="str">
        <f t="shared" si="212"/>
        <v>N</v>
      </c>
      <c r="AD164" s="876"/>
      <c r="AE164" s="863"/>
      <c r="AF164" s="870"/>
      <c r="AG164" s="1019"/>
      <c r="AH164" s="802"/>
      <c r="AI164" s="803"/>
    </row>
    <row r="165" spans="1:51" hidden="1" outlineLevel="1" x14ac:dyDescent="0.3">
      <c r="A165" s="159"/>
      <c r="B165" s="1191"/>
      <c r="C165" s="735" t="str">
        <f>'Optimalizačné opatrenia'!$B$4</f>
        <v>Zjednotenie</v>
      </c>
      <c r="D165" s="788" t="s">
        <v>542</v>
      </c>
      <c r="E165" s="773" t="s">
        <v>542</v>
      </c>
      <c r="F165" s="773" t="s">
        <v>542</v>
      </c>
      <c r="G165" s="773" t="str">
        <f t="shared" si="199"/>
        <v>A</v>
      </c>
      <c r="H165" s="773"/>
      <c r="I165" s="773"/>
      <c r="J165" s="773"/>
      <c r="K165" s="773"/>
      <c r="L165" s="773" t="str">
        <f t="shared" si="200"/>
        <v>A</v>
      </c>
      <c r="M165" s="773" t="str">
        <f t="shared" si="200"/>
        <v>A</v>
      </c>
      <c r="N165" s="773" t="s">
        <v>542</v>
      </c>
      <c r="O165" s="773"/>
      <c r="P165" s="773" t="str">
        <f t="shared" si="201"/>
        <v>A</v>
      </c>
      <c r="Q165" s="773" t="str">
        <f t="shared" si="201"/>
        <v>A</v>
      </c>
      <c r="R165" s="773" t="str">
        <f t="shared" si="201"/>
        <v>A</v>
      </c>
      <c r="S165" s="773" t="str">
        <f t="shared" si="202"/>
        <v>A</v>
      </c>
      <c r="T165" s="773" t="str">
        <f t="shared" si="203"/>
        <v>A</v>
      </c>
      <c r="U165" s="773" t="str">
        <f t="shared" si="204"/>
        <v>A</v>
      </c>
      <c r="V165" s="773" t="str">
        <f t="shared" si="205"/>
        <v>A</v>
      </c>
      <c r="W165" s="773" t="str">
        <f t="shared" si="206"/>
        <v>A</v>
      </c>
      <c r="X165" s="773" t="str">
        <f t="shared" si="207"/>
        <v>A</v>
      </c>
      <c r="Y165" s="773" t="str">
        <f t="shared" si="208"/>
        <v>A</v>
      </c>
      <c r="Z165" s="773" t="str">
        <f t="shared" si="209"/>
        <v>A</v>
      </c>
      <c r="AA165" s="773" t="str">
        <f t="shared" si="210"/>
        <v>A</v>
      </c>
      <c r="AB165" s="773" t="str">
        <f t="shared" si="211"/>
        <v>A</v>
      </c>
      <c r="AC165" s="773" t="str">
        <f t="shared" si="212"/>
        <v>A</v>
      </c>
      <c r="AD165" s="876"/>
      <c r="AE165" s="863"/>
      <c r="AF165" s="870"/>
      <c r="AG165" s="1019"/>
      <c r="AH165" s="802"/>
      <c r="AI165" s="803"/>
    </row>
    <row r="166" spans="1:51" hidden="1" outlineLevel="1" x14ac:dyDescent="0.3">
      <c r="A166" s="159"/>
      <c r="B166" s="1191"/>
      <c r="C166" s="735" t="str">
        <f>'Optimalizačné opatrenia'!$B$5</f>
        <v>Centralizácia</v>
      </c>
      <c r="D166" s="788" t="s">
        <v>542</v>
      </c>
      <c r="E166" s="773" t="s">
        <v>542</v>
      </c>
      <c r="F166" s="773" t="s">
        <v>542</v>
      </c>
      <c r="G166" s="773" t="str">
        <f t="shared" si="199"/>
        <v>A</v>
      </c>
      <c r="H166" s="773"/>
      <c r="I166" s="773"/>
      <c r="J166" s="773"/>
      <c r="K166" s="773"/>
      <c r="L166" s="773" t="str">
        <f t="shared" si="200"/>
        <v>A</v>
      </c>
      <c r="M166" s="773" t="str">
        <f t="shared" si="200"/>
        <v>A</v>
      </c>
      <c r="N166" s="773" t="s">
        <v>542</v>
      </c>
      <c r="O166" s="773"/>
      <c r="P166" s="773" t="str">
        <f t="shared" si="201"/>
        <v>A</v>
      </c>
      <c r="Q166" s="773" t="str">
        <f t="shared" si="201"/>
        <v>A</v>
      </c>
      <c r="R166" s="773" t="str">
        <f t="shared" si="201"/>
        <v>A</v>
      </c>
      <c r="S166" s="773" t="str">
        <f t="shared" si="202"/>
        <v>A</v>
      </c>
      <c r="T166" s="773" t="str">
        <f t="shared" si="203"/>
        <v>A</v>
      </c>
      <c r="U166" s="773" t="str">
        <f t="shared" si="204"/>
        <v>A</v>
      </c>
      <c r="V166" s="773" t="str">
        <f t="shared" si="205"/>
        <v>A</v>
      </c>
      <c r="W166" s="773" t="str">
        <f t="shared" si="206"/>
        <v>A</v>
      </c>
      <c r="X166" s="773" t="str">
        <f t="shared" si="207"/>
        <v>A</v>
      </c>
      <c r="Y166" s="773" t="str">
        <f t="shared" si="208"/>
        <v>A</v>
      </c>
      <c r="Z166" s="773" t="str">
        <f t="shared" si="209"/>
        <v>A</v>
      </c>
      <c r="AA166" s="773" t="str">
        <f t="shared" si="210"/>
        <v>A</v>
      </c>
      <c r="AB166" s="773" t="str">
        <f t="shared" si="211"/>
        <v>A</v>
      </c>
      <c r="AC166" s="773" t="str">
        <f t="shared" si="212"/>
        <v>A</v>
      </c>
      <c r="AD166" s="876"/>
      <c r="AE166" s="863"/>
      <c r="AF166" s="870"/>
      <c r="AG166" s="1019"/>
      <c r="AH166" s="802"/>
      <c r="AI166" s="803"/>
    </row>
    <row r="167" spans="1:51" hidden="1" outlineLevel="1" x14ac:dyDescent="0.3">
      <c r="A167" s="159"/>
      <c r="B167" s="1191"/>
      <c r="C167" s="735" t="str">
        <f>'Optimalizačné opatrenia'!$B$6</f>
        <v>Elektronizácia</v>
      </c>
      <c r="D167" s="788" t="s">
        <v>542</v>
      </c>
      <c r="E167" s="773" t="s">
        <v>542</v>
      </c>
      <c r="F167" s="773" t="s">
        <v>542</v>
      </c>
      <c r="G167" s="773" t="str">
        <f t="shared" si="199"/>
        <v>A</v>
      </c>
      <c r="H167" s="773"/>
      <c r="I167" s="773"/>
      <c r="J167" s="773"/>
      <c r="K167" s="773"/>
      <c r="L167" s="773" t="str">
        <f t="shared" si="200"/>
        <v>A</v>
      </c>
      <c r="M167" s="773" t="str">
        <f t="shared" si="200"/>
        <v>A</v>
      </c>
      <c r="N167" s="773" t="s">
        <v>542</v>
      </c>
      <c r="O167" s="773"/>
      <c r="P167" s="773" t="str">
        <f t="shared" si="201"/>
        <v>A</v>
      </c>
      <c r="Q167" s="773" t="str">
        <f t="shared" si="201"/>
        <v>A</v>
      </c>
      <c r="R167" s="773" t="str">
        <f t="shared" si="201"/>
        <v>A</v>
      </c>
      <c r="S167" s="773" t="str">
        <f t="shared" si="202"/>
        <v>A</v>
      </c>
      <c r="T167" s="773" t="str">
        <f t="shared" si="203"/>
        <v>A</v>
      </c>
      <c r="U167" s="773" t="str">
        <f t="shared" si="204"/>
        <v>A</v>
      </c>
      <c r="V167" s="773" t="str">
        <f t="shared" si="205"/>
        <v>A</v>
      </c>
      <c r="W167" s="773" t="str">
        <f t="shared" si="206"/>
        <v>A</v>
      </c>
      <c r="X167" s="773" t="str">
        <f t="shared" si="207"/>
        <v>A</v>
      </c>
      <c r="Y167" s="773" t="str">
        <f t="shared" si="208"/>
        <v>A</v>
      </c>
      <c r="Z167" s="773" t="str">
        <f t="shared" si="209"/>
        <v>A</v>
      </c>
      <c r="AA167" s="773" t="str">
        <f t="shared" si="210"/>
        <v>A</v>
      </c>
      <c r="AB167" s="773" t="str">
        <f t="shared" si="211"/>
        <v>A</v>
      </c>
      <c r="AC167" s="773" t="str">
        <f t="shared" si="212"/>
        <v>A</v>
      </c>
      <c r="AD167" s="876"/>
      <c r="AE167" s="863"/>
      <c r="AF167" s="870"/>
      <c r="AG167" s="1019"/>
      <c r="AH167" s="802"/>
      <c r="AI167" s="803"/>
    </row>
    <row r="168" spans="1:51" hidden="1" outlineLevel="1" x14ac:dyDescent="0.3">
      <c r="A168" s="159"/>
      <c r="B168" s="1191"/>
      <c r="C168" s="735" t="str">
        <f>'Optimalizačné opatrenia'!$B$7</f>
        <v>Automatizácia</v>
      </c>
      <c r="D168" s="788" t="s">
        <v>542</v>
      </c>
      <c r="E168" s="773" t="s">
        <v>542</v>
      </c>
      <c r="F168" s="773" t="s">
        <v>542</v>
      </c>
      <c r="G168" s="773" t="str">
        <f t="shared" si="199"/>
        <v>A</v>
      </c>
      <c r="H168" s="773"/>
      <c r="I168" s="773"/>
      <c r="J168" s="773"/>
      <c r="K168" s="773"/>
      <c r="L168" s="773" t="str">
        <f t="shared" si="200"/>
        <v>A</v>
      </c>
      <c r="M168" s="773" t="str">
        <f t="shared" si="200"/>
        <v>A</v>
      </c>
      <c r="N168" s="773" t="s">
        <v>542</v>
      </c>
      <c r="O168" s="773"/>
      <c r="P168" s="773" t="str">
        <f t="shared" si="201"/>
        <v>A</v>
      </c>
      <c r="Q168" s="773" t="str">
        <f t="shared" si="201"/>
        <v>A</v>
      </c>
      <c r="R168" s="773" t="str">
        <f t="shared" si="201"/>
        <v>A</v>
      </c>
      <c r="S168" s="773" t="str">
        <f t="shared" si="202"/>
        <v>A</v>
      </c>
      <c r="T168" s="773" t="str">
        <f t="shared" si="203"/>
        <v>A</v>
      </c>
      <c r="U168" s="773" t="str">
        <f t="shared" si="204"/>
        <v>A</v>
      </c>
      <c r="V168" s="773" t="str">
        <f t="shared" si="205"/>
        <v>A</v>
      </c>
      <c r="W168" s="773" t="str">
        <f t="shared" si="206"/>
        <v>A</v>
      </c>
      <c r="X168" s="773" t="str">
        <f t="shared" si="207"/>
        <v>A</v>
      </c>
      <c r="Y168" s="773" t="str">
        <f t="shared" si="208"/>
        <v>A</v>
      </c>
      <c r="Z168" s="773" t="str">
        <f t="shared" si="209"/>
        <v>A</v>
      </c>
      <c r="AA168" s="773" t="str">
        <f t="shared" si="210"/>
        <v>A</v>
      </c>
      <c r="AB168" s="773" t="str">
        <f t="shared" si="211"/>
        <v>A</v>
      </c>
      <c r="AC168" s="773" t="str">
        <f t="shared" si="212"/>
        <v>A</v>
      </c>
      <c r="AD168" s="876"/>
      <c r="AE168" s="863"/>
      <c r="AF168" s="870"/>
      <c r="AG168" s="1019"/>
      <c r="AH168" s="802"/>
      <c r="AI168" s="803"/>
    </row>
    <row r="169" spans="1:51" hidden="1" outlineLevel="1" x14ac:dyDescent="0.3">
      <c r="A169" s="159"/>
      <c r="B169" s="1191"/>
      <c r="C169" s="735" t="str">
        <f>'Optimalizačné opatrenia'!$B$8</f>
        <v>Bezpečnosť</v>
      </c>
      <c r="D169" s="788" t="s">
        <v>542</v>
      </c>
      <c r="E169" s="773" t="s">
        <v>542</v>
      </c>
      <c r="F169" s="773" t="s">
        <v>542</v>
      </c>
      <c r="G169" s="773" t="str">
        <f t="shared" si="199"/>
        <v>A</v>
      </c>
      <c r="H169" s="773"/>
      <c r="I169" s="773"/>
      <c r="J169" s="773"/>
      <c r="K169" s="773"/>
      <c r="L169" s="773" t="str">
        <f t="shared" si="200"/>
        <v>A</v>
      </c>
      <c r="M169" s="773" t="str">
        <f t="shared" si="200"/>
        <v>A</v>
      </c>
      <c r="N169" s="773" t="s">
        <v>542</v>
      </c>
      <c r="O169" s="773"/>
      <c r="P169" s="773" t="str">
        <f t="shared" si="201"/>
        <v>A</v>
      </c>
      <c r="Q169" s="773" t="str">
        <f t="shared" si="201"/>
        <v>A</v>
      </c>
      <c r="R169" s="773" t="str">
        <f t="shared" si="201"/>
        <v>A</v>
      </c>
      <c r="S169" s="773" t="str">
        <f t="shared" si="202"/>
        <v>A</v>
      </c>
      <c r="T169" s="773" t="str">
        <f t="shared" si="203"/>
        <v>A</v>
      </c>
      <c r="U169" s="773" t="str">
        <f t="shared" si="204"/>
        <v>A</v>
      </c>
      <c r="V169" s="773" t="str">
        <f t="shared" si="205"/>
        <v>A</v>
      </c>
      <c r="W169" s="773" t="str">
        <f t="shared" si="206"/>
        <v>A</v>
      </c>
      <c r="X169" s="773" t="str">
        <f t="shared" si="207"/>
        <v>A</v>
      </c>
      <c r="Y169" s="773" t="str">
        <f t="shared" si="208"/>
        <v>A</v>
      </c>
      <c r="Z169" s="773" t="str">
        <f t="shared" si="209"/>
        <v>A</v>
      </c>
      <c r="AA169" s="773" t="str">
        <f t="shared" si="210"/>
        <v>A</v>
      </c>
      <c r="AB169" s="773" t="str">
        <f t="shared" si="211"/>
        <v>A</v>
      </c>
      <c r="AC169" s="773" t="str">
        <f t="shared" si="212"/>
        <v>A</v>
      </c>
      <c r="AD169" s="876"/>
      <c r="AE169" s="863"/>
      <c r="AF169" s="870"/>
      <c r="AG169" s="1019"/>
      <c r="AH169" s="802"/>
      <c r="AI169" s="803"/>
    </row>
    <row r="170" spans="1:51" hidden="1" outlineLevel="1" x14ac:dyDescent="0.3">
      <c r="A170" s="159"/>
      <c r="B170" s="1191"/>
      <c r="C170" s="735" t="str">
        <f>'Optimalizačné opatrenia'!$B$9</f>
        <v>Auditovateľnosť</v>
      </c>
      <c r="D170" s="788" t="s">
        <v>542</v>
      </c>
      <c r="E170" s="773" t="s">
        <v>542</v>
      </c>
      <c r="F170" s="773" t="s">
        <v>542</v>
      </c>
      <c r="G170" s="773" t="str">
        <f t="shared" si="199"/>
        <v>A</v>
      </c>
      <c r="H170" s="773"/>
      <c r="I170" s="773"/>
      <c r="J170" s="773"/>
      <c r="K170" s="773"/>
      <c r="L170" s="773" t="str">
        <f t="shared" si="200"/>
        <v>A</v>
      </c>
      <c r="M170" s="773" t="str">
        <f t="shared" si="200"/>
        <v>A</v>
      </c>
      <c r="N170" s="773" t="s">
        <v>542</v>
      </c>
      <c r="O170" s="773"/>
      <c r="P170" s="773" t="str">
        <f t="shared" si="201"/>
        <v>A</v>
      </c>
      <c r="Q170" s="773" t="str">
        <f t="shared" si="201"/>
        <v>A</v>
      </c>
      <c r="R170" s="773" t="str">
        <f t="shared" si="201"/>
        <v>A</v>
      </c>
      <c r="S170" s="773" t="str">
        <f t="shared" si="202"/>
        <v>A</v>
      </c>
      <c r="T170" s="773" t="str">
        <f t="shared" si="203"/>
        <v>A</v>
      </c>
      <c r="U170" s="773" t="str">
        <f t="shared" si="204"/>
        <v>A</v>
      </c>
      <c r="V170" s="773" t="str">
        <f t="shared" si="205"/>
        <v>A</v>
      </c>
      <c r="W170" s="773" t="str">
        <f t="shared" si="206"/>
        <v>A</v>
      </c>
      <c r="X170" s="773" t="str">
        <f t="shared" si="207"/>
        <v>A</v>
      </c>
      <c r="Y170" s="773" t="str">
        <f t="shared" si="208"/>
        <v>A</v>
      </c>
      <c r="Z170" s="773" t="str">
        <f t="shared" si="209"/>
        <v>A</v>
      </c>
      <c r="AA170" s="773" t="str">
        <f t="shared" si="210"/>
        <v>A</v>
      </c>
      <c r="AB170" s="773" t="str">
        <f t="shared" si="211"/>
        <v>A</v>
      </c>
      <c r="AC170" s="773" t="str">
        <f t="shared" si="212"/>
        <v>A</v>
      </c>
      <c r="AD170" s="876"/>
      <c r="AE170" s="863"/>
      <c r="AF170" s="870"/>
      <c r="AG170" s="1019"/>
      <c r="AH170" s="802"/>
      <c r="AI170" s="803"/>
    </row>
    <row r="171" spans="1:51" hidden="1" outlineLevel="1" x14ac:dyDescent="0.3">
      <c r="A171" s="159"/>
      <c r="B171" s="1191"/>
      <c r="C171" s="735" t="str">
        <f>'Optimalizačné opatrenia'!$B$10</f>
        <v>Transparentnosť</v>
      </c>
      <c r="D171" s="788" t="s">
        <v>542</v>
      </c>
      <c r="E171" s="773" t="s">
        <v>542</v>
      </c>
      <c r="F171" s="773" t="s">
        <v>542</v>
      </c>
      <c r="G171" s="773" t="str">
        <f t="shared" si="199"/>
        <v>N</v>
      </c>
      <c r="H171" s="773"/>
      <c r="I171" s="773"/>
      <c r="J171" s="773"/>
      <c r="K171" s="773"/>
      <c r="L171" s="773" t="str">
        <f t="shared" si="200"/>
        <v>N</v>
      </c>
      <c r="M171" s="773" t="str">
        <f t="shared" si="200"/>
        <v>N</v>
      </c>
      <c r="N171" s="773" t="s">
        <v>542</v>
      </c>
      <c r="O171" s="773"/>
      <c r="P171" s="773" t="str">
        <f t="shared" si="201"/>
        <v>A</v>
      </c>
      <c r="Q171" s="773" t="str">
        <f t="shared" si="201"/>
        <v>N</v>
      </c>
      <c r="R171" s="773" t="str">
        <f t="shared" si="201"/>
        <v>N</v>
      </c>
      <c r="S171" s="773" t="str">
        <f t="shared" si="202"/>
        <v>N</v>
      </c>
      <c r="T171" s="773" t="str">
        <f t="shared" si="203"/>
        <v>N</v>
      </c>
      <c r="U171" s="773" t="str">
        <f t="shared" si="204"/>
        <v>N</v>
      </c>
      <c r="V171" s="773" t="str">
        <f t="shared" si="205"/>
        <v>A</v>
      </c>
      <c r="W171" s="773" t="str">
        <f t="shared" si="206"/>
        <v>N</v>
      </c>
      <c r="X171" s="773" t="str">
        <f t="shared" si="207"/>
        <v>N</v>
      </c>
      <c r="Y171" s="773" t="str">
        <f t="shared" si="208"/>
        <v>N</v>
      </c>
      <c r="Z171" s="773" t="str">
        <f t="shared" si="209"/>
        <v>N</v>
      </c>
      <c r="AA171" s="773" t="str">
        <f t="shared" si="210"/>
        <v>A</v>
      </c>
      <c r="AB171" s="773" t="str">
        <f t="shared" si="211"/>
        <v>N</v>
      </c>
      <c r="AC171" s="773" t="str">
        <f t="shared" si="212"/>
        <v>N</v>
      </c>
      <c r="AD171" s="876"/>
      <c r="AE171" s="863"/>
      <c r="AF171" s="870"/>
      <c r="AG171" s="1019"/>
      <c r="AH171" s="802"/>
      <c r="AI171" s="803"/>
    </row>
    <row r="172" spans="1:51" hidden="1" outlineLevel="1" x14ac:dyDescent="0.3">
      <c r="A172" s="159"/>
      <c r="B172" s="1191"/>
      <c r="C172" s="735" t="str">
        <f>'Optimalizačné opatrenia'!$B$11</f>
        <v>Analyzovatelnosť</v>
      </c>
      <c r="D172" s="788" t="s">
        <v>542</v>
      </c>
      <c r="E172" s="773" t="s">
        <v>542</v>
      </c>
      <c r="F172" s="773" t="s">
        <v>542</v>
      </c>
      <c r="G172" s="773" t="str">
        <f t="shared" si="199"/>
        <v>A</v>
      </c>
      <c r="H172" s="773"/>
      <c r="I172" s="773"/>
      <c r="J172" s="773"/>
      <c r="K172" s="773"/>
      <c r="L172" s="773" t="str">
        <f t="shared" si="200"/>
        <v>A</v>
      </c>
      <c r="M172" s="773" t="str">
        <f t="shared" si="200"/>
        <v>A</v>
      </c>
      <c r="N172" s="773" t="s">
        <v>542</v>
      </c>
      <c r="O172" s="773"/>
      <c r="P172" s="773" t="str">
        <f t="shared" si="201"/>
        <v>A</v>
      </c>
      <c r="Q172" s="773" t="str">
        <f t="shared" si="201"/>
        <v>A</v>
      </c>
      <c r="R172" s="773" t="str">
        <f t="shared" si="201"/>
        <v>A</v>
      </c>
      <c r="S172" s="773" t="str">
        <f t="shared" si="202"/>
        <v>A</v>
      </c>
      <c r="T172" s="773" t="str">
        <f t="shared" si="203"/>
        <v>A</v>
      </c>
      <c r="U172" s="773" t="str">
        <f t="shared" si="204"/>
        <v>A</v>
      </c>
      <c r="V172" s="773" t="str">
        <f t="shared" si="205"/>
        <v>A</v>
      </c>
      <c r="W172" s="773" t="str">
        <f t="shared" si="206"/>
        <v>A</v>
      </c>
      <c r="X172" s="773" t="str">
        <f t="shared" si="207"/>
        <v>A</v>
      </c>
      <c r="Y172" s="773" t="str">
        <f t="shared" si="208"/>
        <v>A</v>
      </c>
      <c r="Z172" s="773" t="str">
        <f t="shared" si="209"/>
        <v>A</v>
      </c>
      <c r="AA172" s="773" t="str">
        <f t="shared" si="210"/>
        <v>A</v>
      </c>
      <c r="AB172" s="773" t="str">
        <f t="shared" si="211"/>
        <v>A</v>
      </c>
      <c r="AC172" s="773" t="str">
        <f t="shared" si="212"/>
        <v>A</v>
      </c>
      <c r="AD172" s="876"/>
      <c r="AE172" s="863"/>
      <c r="AF172" s="870"/>
      <c r="AG172" s="1019"/>
      <c r="AH172" s="802"/>
      <c r="AI172" s="803"/>
    </row>
    <row r="173" spans="1:51" hidden="1" outlineLevel="1" x14ac:dyDescent="0.3">
      <c r="A173" s="159"/>
      <c r="B173" s="1191"/>
      <c r="C173" s="735" t="str">
        <f>'Optimalizačné opatrenia'!$B$12</f>
        <v>Integrácia</v>
      </c>
      <c r="D173" s="788" t="s">
        <v>542</v>
      </c>
      <c r="E173" s="773" t="s">
        <v>542</v>
      </c>
      <c r="F173" s="773" t="s">
        <v>542</v>
      </c>
      <c r="G173" s="773" t="str">
        <f t="shared" si="199"/>
        <v>A</v>
      </c>
      <c r="H173" s="773"/>
      <c r="I173" s="773"/>
      <c r="J173" s="773"/>
      <c r="K173" s="773"/>
      <c r="L173" s="773" t="str">
        <f t="shared" si="200"/>
        <v>A</v>
      </c>
      <c r="M173" s="773" t="str">
        <f t="shared" si="200"/>
        <v>A</v>
      </c>
      <c r="N173" s="773" t="s">
        <v>542</v>
      </c>
      <c r="O173" s="773"/>
      <c r="P173" s="773" t="str">
        <f t="shared" si="201"/>
        <v>A</v>
      </c>
      <c r="Q173" s="773" t="str">
        <f t="shared" si="201"/>
        <v>A</v>
      </c>
      <c r="R173" s="773" t="str">
        <f t="shared" si="201"/>
        <v>A</v>
      </c>
      <c r="S173" s="773" t="str">
        <f t="shared" si="202"/>
        <v>A</v>
      </c>
      <c r="T173" s="773" t="str">
        <f t="shared" si="203"/>
        <v>A</v>
      </c>
      <c r="U173" s="773" t="str">
        <f t="shared" si="204"/>
        <v>A</v>
      </c>
      <c r="V173" s="773" t="str">
        <f t="shared" si="205"/>
        <v>A</v>
      </c>
      <c r="W173" s="773" t="str">
        <f t="shared" si="206"/>
        <v>A</v>
      </c>
      <c r="X173" s="773" t="str">
        <f t="shared" si="207"/>
        <v>A</v>
      </c>
      <c r="Y173" s="773" t="str">
        <f t="shared" si="208"/>
        <v>A</v>
      </c>
      <c r="Z173" s="773" t="str">
        <f t="shared" si="209"/>
        <v>A</v>
      </c>
      <c r="AA173" s="773" t="str">
        <f t="shared" si="210"/>
        <v>A</v>
      </c>
      <c r="AB173" s="773" t="str">
        <f t="shared" si="211"/>
        <v>A</v>
      </c>
      <c r="AC173" s="773" t="str">
        <f t="shared" si="212"/>
        <v>A</v>
      </c>
      <c r="AD173" s="876"/>
      <c r="AE173" s="863"/>
      <c r="AF173" s="870"/>
      <c r="AG173" s="1019"/>
      <c r="AH173" s="802"/>
      <c r="AI173" s="803"/>
    </row>
    <row r="174" spans="1:51" hidden="1" outlineLevel="1" x14ac:dyDescent="0.3">
      <c r="A174" s="159"/>
      <c r="B174" s="1191"/>
      <c r="C174" s="740" t="str">
        <f>'Optimalizačné opatrenia'!$B$13</f>
        <v>Proaktivita</v>
      </c>
      <c r="D174" s="788" t="s">
        <v>542</v>
      </c>
      <c r="E174" s="773" t="s">
        <v>542</v>
      </c>
      <c r="F174" s="773" t="s">
        <v>542</v>
      </c>
      <c r="G174" s="773" t="str">
        <f t="shared" si="199"/>
        <v>N</v>
      </c>
      <c r="H174" s="773"/>
      <c r="I174" s="773"/>
      <c r="J174" s="773"/>
      <c r="K174" s="773"/>
      <c r="L174" s="773" t="str">
        <f t="shared" si="200"/>
        <v>A</v>
      </c>
      <c r="M174" s="773" t="str">
        <f t="shared" si="200"/>
        <v>N</v>
      </c>
      <c r="N174" s="773" t="s">
        <v>542</v>
      </c>
      <c r="O174" s="773"/>
      <c r="P174" s="773" t="str">
        <f t="shared" si="201"/>
        <v>N</v>
      </c>
      <c r="Q174" s="773" t="str">
        <f t="shared" si="201"/>
        <v>N</v>
      </c>
      <c r="R174" s="773" t="str">
        <f t="shared" si="201"/>
        <v>A</v>
      </c>
      <c r="S174" s="773" t="str">
        <f t="shared" si="202"/>
        <v>A</v>
      </c>
      <c r="T174" s="773" t="str">
        <f t="shared" si="203"/>
        <v>A</v>
      </c>
      <c r="U174" s="773" t="str">
        <f t="shared" si="204"/>
        <v>N</v>
      </c>
      <c r="V174" s="773" t="str">
        <f t="shared" si="205"/>
        <v>A</v>
      </c>
      <c r="W174" s="773" t="str">
        <f t="shared" si="206"/>
        <v>N</v>
      </c>
      <c r="X174" s="773" t="str">
        <f t="shared" si="207"/>
        <v>N</v>
      </c>
      <c r="Y174" s="773" t="str">
        <f t="shared" si="208"/>
        <v>A</v>
      </c>
      <c r="Z174" s="773" t="str">
        <f t="shared" si="209"/>
        <v>A</v>
      </c>
      <c r="AA174" s="773" t="str">
        <f t="shared" si="210"/>
        <v>A</v>
      </c>
      <c r="AB174" s="773" t="str">
        <f t="shared" si="211"/>
        <v>N</v>
      </c>
      <c r="AC174" s="773" t="str">
        <f t="shared" si="212"/>
        <v>A</v>
      </c>
      <c r="AD174" s="876"/>
      <c r="AE174" s="863"/>
      <c r="AF174" s="870"/>
      <c r="AG174" s="1019"/>
      <c r="AH174" s="802"/>
      <c r="AI174" s="803"/>
    </row>
    <row r="175" spans="1:51" hidden="1" outlineLevel="1" x14ac:dyDescent="0.3">
      <c r="A175" s="159"/>
      <c r="B175" s="790"/>
      <c r="C175" s="792" t="s">
        <v>550</v>
      </c>
      <c r="D175" s="793">
        <v>0</v>
      </c>
      <c r="E175" s="791">
        <v>0</v>
      </c>
      <c r="F175" s="794">
        <v>0</v>
      </c>
      <c r="G175" s="794">
        <f t="shared" si="199"/>
        <v>0.3</v>
      </c>
      <c r="H175" s="794"/>
      <c r="I175" s="794"/>
      <c r="J175" s="794"/>
      <c r="K175" s="794"/>
      <c r="L175" s="794">
        <f t="shared" si="200"/>
        <v>0.4</v>
      </c>
      <c r="M175" s="794">
        <f t="shared" si="200"/>
        <v>0.3</v>
      </c>
      <c r="N175" s="794">
        <v>0</v>
      </c>
      <c r="O175" s="794"/>
      <c r="P175" s="794">
        <f t="shared" si="201"/>
        <v>0.45</v>
      </c>
      <c r="Q175" s="794">
        <f t="shared" si="201"/>
        <v>0.3</v>
      </c>
      <c r="R175" s="794">
        <f t="shared" si="201"/>
        <v>0.4</v>
      </c>
      <c r="S175" s="794">
        <f t="shared" si="202"/>
        <v>0.4</v>
      </c>
      <c r="T175" s="794">
        <f t="shared" si="203"/>
        <v>0.4</v>
      </c>
      <c r="U175" s="794">
        <f t="shared" si="204"/>
        <v>0.3</v>
      </c>
      <c r="V175" s="794">
        <f t="shared" si="205"/>
        <v>0.5</v>
      </c>
      <c r="W175" s="794">
        <f t="shared" si="206"/>
        <v>0.3</v>
      </c>
      <c r="X175" s="794">
        <f t="shared" si="207"/>
        <v>0.3</v>
      </c>
      <c r="Y175" s="794">
        <f t="shared" si="208"/>
        <v>0.4</v>
      </c>
      <c r="Z175" s="794">
        <f t="shared" si="209"/>
        <v>0.4</v>
      </c>
      <c r="AA175" s="794">
        <f t="shared" si="210"/>
        <v>0.5</v>
      </c>
      <c r="AB175" s="794">
        <f t="shared" si="211"/>
        <v>0.3</v>
      </c>
      <c r="AC175" s="794">
        <f t="shared" si="212"/>
        <v>0.4</v>
      </c>
      <c r="AD175" s="877"/>
      <c r="AE175" s="864"/>
      <c r="AF175" s="871"/>
      <c r="AG175" s="1020"/>
      <c r="AH175" s="805"/>
      <c r="AI175" s="806"/>
    </row>
    <row r="176" spans="1:51" ht="69.599999999999994" customHeight="1" collapsed="1" x14ac:dyDescent="0.3">
      <c r="A176" s="159">
        <f ca="1">OFFSET(A176,-14,0)+1</f>
        <v>13</v>
      </c>
      <c r="B176" s="736" t="str">
        <f ca="1">'Procesy - AS IS'!B44</f>
        <v>Meranie č. 13</v>
      </c>
      <c r="C176" s="739" t="str">
        <f>'Procesy - AS IS'!C44</f>
        <v>MAKOS, a.s. Bardejov, Kontrola emisie skleníkových plynov, kontrola: 4828-15367/53/2017/Kve
spravne konanie: 7490-33731/Ulb
odvolanie: 1110-2247/Šte</v>
      </c>
      <c r="D176" s="796">
        <f>-'Procesy - AS IS'!D46*D189</f>
        <v>0</v>
      </c>
      <c r="E176" s="721">
        <f>-'Procesy - AS IS'!E46*E189</f>
        <v>0</v>
      </c>
      <c r="F176" s="721">
        <f>-'Procesy - AS IS'!F46*F189</f>
        <v>0</v>
      </c>
      <c r="G176" s="721">
        <f>-'Procesy - AS IS'!G46*G189</f>
        <v>-4.8</v>
      </c>
      <c r="H176" s="721" t="s">
        <v>568</v>
      </c>
      <c r="I176" s="721" t="s">
        <v>568</v>
      </c>
      <c r="J176" s="721" t="s">
        <v>568</v>
      </c>
      <c r="K176" s="721" t="s">
        <v>568</v>
      </c>
      <c r="L176" s="721">
        <f>-'Procesy - AS IS'!L46*L189</f>
        <v>-0.1</v>
      </c>
      <c r="M176" s="721">
        <f>-'Procesy - AS IS'!M46*M189</f>
        <v>-1.7999999999999998</v>
      </c>
      <c r="N176" s="721">
        <f>-'Procesy - AS IS'!N46*N189</f>
        <v>0</v>
      </c>
      <c r="O176" s="721" t="s">
        <v>572</v>
      </c>
      <c r="P176" s="721">
        <f>-'Procesy - AS IS'!P46*P189</f>
        <v>-0.45</v>
      </c>
      <c r="Q176" s="721">
        <f>-'Procesy - AS IS'!Q46*Q189</f>
        <v>0</v>
      </c>
      <c r="R176" s="721">
        <f>-'Procesy - AS IS'!R46*R189</f>
        <v>0</v>
      </c>
      <c r="S176" s="721">
        <f>-'Procesy - AS IS'!S46*S189</f>
        <v>-6</v>
      </c>
      <c r="T176" s="721">
        <f>-'Procesy - AS IS'!T46*T189</f>
        <v>0</v>
      </c>
      <c r="U176" s="721">
        <f>-'Procesy - AS IS'!U46*U189</f>
        <v>-2.4</v>
      </c>
      <c r="V176" s="721">
        <f>-'Procesy - AS IS'!V46*V189</f>
        <v>-0.25</v>
      </c>
      <c r="W176" s="721">
        <f>-'Procesy - AS IS'!W46*W189</f>
        <v>0</v>
      </c>
      <c r="X176" s="721">
        <f>-'Procesy - AS IS'!X46*X189</f>
        <v>0</v>
      </c>
      <c r="Y176" s="721">
        <f>-'Procesy - AS IS'!Y46*Y189</f>
        <v>0</v>
      </c>
      <c r="Z176" s="721">
        <f>-'Procesy - AS IS'!Z46*Z189</f>
        <v>0</v>
      </c>
      <c r="AA176" s="721">
        <f>-'Procesy - AS IS'!AA46*AA189</f>
        <v>0</v>
      </c>
      <c r="AB176" s="721">
        <f>-'Procesy - AS IS'!AB46*AB189</f>
        <v>0</v>
      </c>
      <c r="AC176" s="721">
        <f>-'Procesy - AS IS'!AC46*AC189</f>
        <v>0</v>
      </c>
      <c r="AD176" s="824">
        <f>SUM(D176:AC176)</f>
        <v>-15.799999999999999</v>
      </c>
      <c r="AE176" s="798">
        <f>AD176/'Procesy - AS IS'!AD46</f>
        <v>-0.33796791443850266</v>
      </c>
      <c r="AF176" s="869">
        <f>'Procesy - AS IS'!AG46/(1+$AE176)-'Procesy - AS IS'!AG46</f>
        <v>23.483037156704356</v>
      </c>
      <c r="AG176" s="1018">
        <f>'Procesy - AS IS'!AH46/(1+$AE176)-'Procesy - AS IS'!AH46</f>
        <v>0</v>
      </c>
      <c r="AH176" s="800">
        <f>'Procesy - AS IS'!AI46/(1+$AE176)-'Procesy - AS IS'!AI46</f>
        <v>0</v>
      </c>
      <c r="AI176" s="801">
        <f>'Procesy - AS IS'!AJ46/(1+$AE176)-'Procesy - AS IS'!AJ46</f>
        <v>0</v>
      </c>
      <c r="AK176" s="232"/>
      <c r="AY176" s="227"/>
    </row>
    <row r="177" spans="1:51" hidden="1" outlineLevel="1" x14ac:dyDescent="0.3">
      <c r="A177" s="159"/>
      <c r="B177" s="1190" t="s">
        <v>540</v>
      </c>
      <c r="C177" s="735" t="str">
        <f>'Optimalizačné opatrenia'!$B$2</f>
        <v>Modernizácia</v>
      </c>
      <c r="D177" s="741" t="s">
        <v>542</v>
      </c>
      <c r="E177" s="742" t="s">
        <v>542</v>
      </c>
      <c r="F177" s="773" t="s">
        <v>542</v>
      </c>
      <c r="G177" s="773" t="str">
        <f t="shared" ref="G177:G189" si="213">G107</f>
        <v>A</v>
      </c>
      <c r="H177" s="773"/>
      <c r="I177" s="773"/>
      <c r="J177" s="773"/>
      <c r="K177" s="773"/>
      <c r="L177" s="773" t="str">
        <f t="shared" ref="L177:M189" si="214">L163</f>
        <v>A</v>
      </c>
      <c r="M177" s="773" t="str">
        <f t="shared" si="214"/>
        <v>A</v>
      </c>
      <c r="N177" s="773" t="s">
        <v>542</v>
      </c>
      <c r="O177" s="773"/>
      <c r="P177" s="773" t="str">
        <f t="shared" ref="P177:R189" si="215">P107</f>
        <v>A</v>
      </c>
      <c r="Q177" s="773" t="str">
        <f t="shared" si="215"/>
        <v>A</v>
      </c>
      <c r="R177" s="773" t="str">
        <f t="shared" si="215"/>
        <v>A</v>
      </c>
      <c r="S177" s="773" t="str">
        <f t="shared" ref="S177:S189" si="216">R177</f>
        <v>A</v>
      </c>
      <c r="T177" s="773" t="str">
        <f t="shared" ref="T177:T189" si="217">R177</f>
        <v>A</v>
      </c>
      <c r="U177" s="773" t="str">
        <f t="shared" ref="U177:U189" si="218">G163</f>
        <v>A</v>
      </c>
      <c r="V177" s="773" t="str">
        <f t="shared" ref="V177:V189" si="219">V107</f>
        <v>A</v>
      </c>
      <c r="W177" s="773" t="str">
        <f t="shared" ref="W177:W189" si="220">W7</f>
        <v>A</v>
      </c>
      <c r="X177" s="773" t="str">
        <f t="shared" ref="X177:X189" si="221">G177</f>
        <v>A</v>
      </c>
      <c r="Y177" s="773" t="str">
        <f t="shared" ref="Y177:Y189" si="222">R177</f>
        <v>A</v>
      </c>
      <c r="Z177" s="773" t="str">
        <f t="shared" ref="Z177:Z189" si="223">R177</f>
        <v>A</v>
      </c>
      <c r="AA177" s="773" t="str">
        <f t="shared" ref="AA177:AA189" si="224">$V177</f>
        <v>A</v>
      </c>
      <c r="AB177" s="773" t="str">
        <f t="shared" ref="AB177:AB189" si="225">G177</f>
        <v>A</v>
      </c>
      <c r="AC177" s="773" t="str">
        <f t="shared" ref="AC177:AC189" si="226">R177</f>
        <v>A</v>
      </c>
      <c r="AD177" s="876"/>
      <c r="AE177" s="863"/>
      <c r="AF177" s="870"/>
      <c r="AG177" s="1019"/>
      <c r="AH177" s="802"/>
      <c r="AI177" s="803"/>
    </row>
    <row r="178" spans="1:51" hidden="1" outlineLevel="1" x14ac:dyDescent="0.3">
      <c r="A178" s="159"/>
      <c r="B178" s="1191"/>
      <c r="C178" s="735" t="str">
        <f>'Optimalizačné opatrenia'!$B$3</f>
        <v>Sfunkčnenie</v>
      </c>
      <c r="D178" s="788" t="s">
        <v>542</v>
      </c>
      <c r="E178" s="773" t="s">
        <v>542</v>
      </c>
      <c r="F178" s="773" t="s">
        <v>542</v>
      </c>
      <c r="G178" s="773" t="str">
        <f t="shared" si="213"/>
        <v>N</v>
      </c>
      <c r="H178" s="773"/>
      <c r="I178" s="773"/>
      <c r="J178" s="773"/>
      <c r="K178" s="773"/>
      <c r="L178" s="773" t="str">
        <f t="shared" si="214"/>
        <v>N</v>
      </c>
      <c r="M178" s="773" t="str">
        <f t="shared" si="214"/>
        <v>N</v>
      </c>
      <c r="N178" s="773" t="s">
        <v>542</v>
      </c>
      <c r="O178" s="773"/>
      <c r="P178" s="773" t="str">
        <f t="shared" si="215"/>
        <v>N</v>
      </c>
      <c r="Q178" s="773" t="str">
        <f t="shared" si="215"/>
        <v>N</v>
      </c>
      <c r="R178" s="773" t="str">
        <f t="shared" si="215"/>
        <v>N</v>
      </c>
      <c r="S178" s="773" t="str">
        <f t="shared" si="216"/>
        <v>N</v>
      </c>
      <c r="T178" s="773" t="str">
        <f t="shared" si="217"/>
        <v>N</v>
      </c>
      <c r="U178" s="773" t="str">
        <f t="shared" si="218"/>
        <v>N</v>
      </c>
      <c r="V178" s="773" t="str">
        <f t="shared" si="219"/>
        <v>N</v>
      </c>
      <c r="W178" s="773" t="str">
        <f t="shared" si="220"/>
        <v>N</v>
      </c>
      <c r="X178" s="773" t="str">
        <f t="shared" si="221"/>
        <v>N</v>
      </c>
      <c r="Y178" s="773" t="str">
        <f t="shared" si="222"/>
        <v>N</v>
      </c>
      <c r="Z178" s="773" t="str">
        <f t="shared" si="223"/>
        <v>N</v>
      </c>
      <c r="AA178" s="773" t="str">
        <f t="shared" si="224"/>
        <v>N</v>
      </c>
      <c r="AB178" s="773" t="str">
        <f t="shared" si="225"/>
        <v>N</v>
      </c>
      <c r="AC178" s="773" t="str">
        <f t="shared" si="226"/>
        <v>N</v>
      </c>
      <c r="AD178" s="876"/>
      <c r="AE178" s="863"/>
      <c r="AF178" s="870"/>
      <c r="AG178" s="1019"/>
      <c r="AH178" s="802"/>
      <c r="AI178" s="803"/>
    </row>
    <row r="179" spans="1:51" hidden="1" outlineLevel="1" x14ac:dyDescent="0.3">
      <c r="A179" s="159"/>
      <c r="B179" s="1191"/>
      <c r="C179" s="735" t="str">
        <f>'Optimalizačné opatrenia'!$B$4</f>
        <v>Zjednotenie</v>
      </c>
      <c r="D179" s="788" t="s">
        <v>542</v>
      </c>
      <c r="E179" s="773" t="s">
        <v>542</v>
      </c>
      <c r="F179" s="773" t="s">
        <v>542</v>
      </c>
      <c r="G179" s="773" t="str">
        <f t="shared" si="213"/>
        <v>A</v>
      </c>
      <c r="H179" s="773"/>
      <c r="I179" s="773"/>
      <c r="J179" s="773"/>
      <c r="K179" s="773"/>
      <c r="L179" s="773" t="str">
        <f t="shared" si="214"/>
        <v>A</v>
      </c>
      <c r="M179" s="773" t="str">
        <f t="shared" si="214"/>
        <v>A</v>
      </c>
      <c r="N179" s="773" t="s">
        <v>542</v>
      </c>
      <c r="O179" s="773"/>
      <c r="P179" s="773" t="str">
        <f t="shared" si="215"/>
        <v>A</v>
      </c>
      <c r="Q179" s="773" t="str">
        <f t="shared" si="215"/>
        <v>A</v>
      </c>
      <c r="R179" s="773" t="str">
        <f t="shared" si="215"/>
        <v>A</v>
      </c>
      <c r="S179" s="773" t="str">
        <f t="shared" si="216"/>
        <v>A</v>
      </c>
      <c r="T179" s="773" t="str">
        <f t="shared" si="217"/>
        <v>A</v>
      </c>
      <c r="U179" s="773" t="str">
        <f t="shared" si="218"/>
        <v>A</v>
      </c>
      <c r="V179" s="773" t="str">
        <f t="shared" si="219"/>
        <v>A</v>
      </c>
      <c r="W179" s="773" t="str">
        <f t="shared" si="220"/>
        <v>A</v>
      </c>
      <c r="X179" s="773" t="str">
        <f t="shared" si="221"/>
        <v>A</v>
      </c>
      <c r="Y179" s="773" t="str">
        <f t="shared" si="222"/>
        <v>A</v>
      </c>
      <c r="Z179" s="773" t="str">
        <f t="shared" si="223"/>
        <v>A</v>
      </c>
      <c r="AA179" s="773" t="str">
        <f t="shared" si="224"/>
        <v>A</v>
      </c>
      <c r="AB179" s="773" t="str">
        <f t="shared" si="225"/>
        <v>A</v>
      </c>
      <c r="AC179" s="773" t="str">
        <f t="shared" si="226"/>
        <v>A</v>
      </c>
      <c r="AD179" s="876"/>
      <c r="AE179" s="863"/>
      <c r="AF179" s="870"/>
      <c r="AG179" s="1019"/>
      <c r="AH179" s="802"/>
      <c r="AI179" s="803"/>
    </row>
    <row r="180" spans="1:51" hidden="1" outlineLevel="1" x14ac:dyDescent="0.3">
      <c r="A180" s="159"/>
      <c r="B180" s="1191"/>
      <c r="C180" s="735" t="str">
        <f>'Optimalizačné opatrenia'!$B$5</f>
        <v>Centralizácia</v>
      </c>
      <c r="D180" s="788" t="s">
        <v>542</v>
      </c>
      <c r="E180" s="773" t="s">
        <v>542</v>
      </c>
      <c r="F180" s="773" t="s">
        <v>542</v>
      </c>
      <c r="G180" s="773" t="str">
        <f t="shared" si="213"/>
        <v>A</v>
      </c>
      <c r="H180" s="773"/>
      <c r="I180" s="773"/>
      <c r="J180" s="773"/>
      <c r="K180" s="773"/>
      <c r="L180" s="773" t="str">
        <f t="shared" si="214"/>
        <v>A</v>
      </c>
      <c r="M180" s="773" t="str">
        <f t="shared" si="214"/>
        <v>A</v>
      </c>
      <c r="N180" s="773" t="s">
        <v>542</v>
      </c>
      <c r="O180" s="773"/>
      <c r="P180" s="773" t="str">
        <f t="shared" si="215"/>
        <v>A</v>
      </c>
      <c r="Q180" s="773" t="str">
        <f t="shared" si="215"/>
        <v>A</v>
      </c>
      <c r="R180" s="773" t="str">
        <f t="shared" si="215"/>
        <v>A</v>
      </c>
      <c r="S180" s="773" t="str">
        <f t="shared" si="216"/>
        <v>A</v>
      </c>
      <c r="T180" s="773" t="str">
        <f t="shared" si="217"/>
        <v>A</v>
      </c>
      <c r="U180" s="773" t="str">
        <f t="shared" si="218"/>
        <v>A</v>
      </c>
      <c r="V180" s="773" t="str">
        <f t="shared" si="219"/>
        <v>A</v>
      </c>
      <c r="W180" s="773" t="str">
        <f t="shared" si="220"/>
        <v>A</v>
      </c>
      <c r="X180" s="773" t="str">
        <f t="shared" si="221"/>
        <v>A</v>
      </c>
      <c r="Y180" s="773" t="str">
        <f t="shared" si="222"/>
        <v>A</v>
      </c>
      <c r="Z180" s="773" t="str">
        <f t="shared" si="223"/>
        <v>A</v>
      </c>
      <c r="AA180" s="773" t="str">
        <f t="shared" si="224"/>
        <v>A</v>
      </c>
      <c r="AB180" s="773" t="str">
        <f t="shared" si="225"/>
        <v>A</v>
      </c>
      <c r="AC180" s="773" t="str">
        <f t="shared" si="226"/>
        <v>A</v>
      </c>
      <c r="AD180" s="876"/>
      <c r="AE180" s="863"/>
      <c r="AF180" s="870"/>
      <c r="AG180" s="1019"/>
      <c r="AH180" s="802"/>
      <c r="AI180" s="803"/>
    </row>
    <row r="181" spans="1:51" hidden="1" outlineLevel="1" x14ac:dyDescent="0.3">
      <c r="A181" s="159"/>
      <c r="B181" s="1191"/>
      <c r="C181" s="735" t="str">
        <f>'Optimalizačné opatrenia'!$B$6</f>
        <v>Elektronizácia</v>
      </c>
      <c r="D181" s="788" t="s">
        <v>542</v>
      </c>
      <c r="E181" s="773" t="s">
        <v>542</v>
      </c>
      <c r="F181" s="773" t="s">
        <v>542</v>
      </c>
      <c r="G181" s="773" t="str">
        <f t="shared" si="213"/>
        <v>A</v>
      </c>
      <c r="H181" s="773"/>
      <c r="I181" s="773"/>
      <c r="J181" s="773"/>
      <c r="K181" s="773"/>
      <c r="L181" s="773" t="str">
        <f t="shared" si="214"/>
        <v>A</v>
      </c>
      <c r="M181" s="773" t="str">
        <f t="shared" si="214"/>
        <v>A</v>
      </c>
      <c r="N181" s="773" t="s">
        <v>542</v>
      </c>
      <c r="O181" s="773"/>
      <c r="P181" s="773" t="str">
        <f t="shared" si="215"/>
        <v>A</v>
      </c>
      <c r="Q181" s="773" t="str">
        <f t="shared" si="215"/>
        <v>A</v>
      </c>
      <c r="R181" s="773" t="str">
        <f t="shared" si="215"/>
        <v>A</v>
      </c>
      <c r="S181" s="773" t="str">
        <f t="shared" si="216"/>
        <v>A</v>
      </c>
      <c r="T181" s="773" t="str">
        <f t="shared" si="217"/>
        <v>A</v>
      </c>
      <c r="U181" s="773" t="str">
        <f t="shared" si="218"/>
        <v>A</v>
      </c>
      <c r="V181" s="773" t="str">
        <f t="shared" si="219"/>
        <v>A</v>
      </c>
      <c r="W181" s="773" t="str">
        <f t="shared" si="220"/>
        <v>A</v>
      </c>
      <c r="X181" s="773" t="str">
        <f t="shared" si="221"/>
        <v>A</v>
      </c>
      <c r="Y181" s="773" t="str">
        <f t="shared" si="222"/>
        <v>A</v>
      </c>
      <c r="Z181" s="773" t="str">
        <f t="shared" si="223"/>
        <v>A</v>
      </c>
      <c r="AA181" s="773" t="str">
        <f t="shared" si="224"/>
        <v>A</v>
      </c>
      <c r="AB181" s="773" t="str">
        <f t="shared" si="225"/>
        <v>A</v>
      </c>
      <c r="AC181" s="773" t="str">
        <f t="shared" si="226"/>
        <v>A</v>
      </c>
      <c r="AD181" s="876"/>
      <c r="AE181" s="863"/>
      <c r="AF181" s="870"/>
      <c r="AG181" s="1019"/>
      <c r="AH181" s="802"/>
      <c r="AI181" s="803"/>
    </row>
    <row r="182" spans="1:51" hidden="1" outlineLevel="1" x14ac:dyDescent="0.3">
      <c r="A182" s="159"/>
      <c r="B182" s="1191"/>
      <c r="C182" s="735" t="str">
        <f>'Optimalizačné opatrenia'!$B$7</f>
        <v>Automatizácia</v>
      </c>
      <c r="D182" s="788" t="s">
        <v>542</v>
      </c>
      <c r="E182" s="773" t="s">
        <v>542</v>
      </c>
      <c r="F182" s="773" t="s">
        <v>542</v>
      </c>
      <c r="G182" s="773" t="str">
        <f t="shared" si="213"/>
        <v>A</v>
      </c>
      <c r="H182" s="773"/>
      <c r="I182" s="773"/>
      <c r="J182" s="773"/>
      <c r="K182" s="773"/>
      <c r="L182" s="773" t="str">
        <f t="shared" si="214"/>
        <v>A</v>
      </c>
      <c r="M182" s="773" t="str">
        <f t="shared" si="214"/>
        <v>A</v>
      </c>
      <c r="N182" s="773" t="s">
        <v>542</v>
      </c>
      <c r="O182" s="773"/>
      <c r="P182" s="773" t="str">
        <f t="shared" si="215"/>
        <v>A</v>
      </c>
      <c r="Q182" s="773" t="str">
        <f t="shared" si="215"/>
        <v>A</v>
      </c>
      <c r="R182" s="773" t="str">
        <f t="shared" si="215"/>
        <v>A</v>
      </c>
      <c r="S182" s="773" t="str">
        <f t="shared" si="216"/>
        <v>A</v>
      </c>
      <c r="T182" s="773" t="str">
        <f t="shared" si="217"/>
        <v>A</v>
      </c>
      <c r="U182" s="773" t="str">
        <f t="shared" si="218"/>
        <v>A</v>
      </c>
      <c r="V182" s="773" t="str">
        <f t="shared" si="219"/>
        <v>A</v>
      </c>
      <c r="W182" s="773" t="str">
        <f t="shared" si="220"/>
        <v>A</v>
      </c>
      <c r="X182" s="773" t="str">
        <f t="shared" si="221"/>
        <v>A</v>
      </c>
      <c r="Y182" s="773" t="str">
        <f t="shared" si="222"/>
        <v>A</v>
      </c>
      <c r="Z182" s="773" t="str">
        <f t="shared" si="223"/>
        <v>A</v>
      </c>
      <c r="AA182" s="773" t="str">
        <f t="shared" si="224"/>
        <v>A</v>
      </c>
      <c r="AB182" s="773" t="str">
        <f t="shared" si="225"/>
        <v>A</v>
      </c>
      <c r="AC182" s="773" t="str">
        <f t="shared" si="226"/>
        <v>A</v>
      </c>
      <c r="AD182" s="876"/>
      <c r="AE182" s="863"/>
      <c r="AF182" s="870"/>
      <c r="AG182" s="1019"/>
      <c r="AH182" s="802"/>
      <c r="AI182" s="803"/>
    </row>
    <row r="183" spans="1:51" hidden="1" outlineLevel="1" x14ac:dyDescent="0.3">
      <c r="A183" s="159"/>
      <c r="B183" s="1191"/>
      <c r="C183" s="735" t="str">
        <f>'Optimalizačné opatrenia'!$B$8</f>
        <v>Bezpečnosť</v>
      </c>
      <c r="D183" s="788" t="s">
        <v>542</v>
      </c>
      <c r="E183" s="773" t="s">
        <v>542</v>
      </c>
      <c r="F183" s="773" t="s">
        <v>542</v>
      </c>
      <c r="G183" s="773" t="str">
        <f t="shared" si="213"/>
        <v>A</v>
      </c>
      <c r="H183" s="773"/>
      <c r="I183" s="773"/>
      <c r="J183" s="773"/>
      <c r="K183" s="773"/>
      <c r="L183" s="773" t="str">
        <f t="shared" si="214"/>
        <v>A</v>
      </c>
      <c r="M183" s="773" t="str">
        <f t="shared" si="214"/>
        <v>A</v>
      </c>
      <c r="N183" s="773" t="s">
        <v>542</v>
      </c>
      <c r="O183" s="773"/>
      <c r="P183" s="773" t="str">
        <f t="shared" si="215"/>
        <v>A</v>
      </c>
      <c r="Q183" s="773" t="str">
        <f t="shared" si="215"/>
        <v>A</v>
      </c>
      <c r="R183" s="773" t="str">
        <f t="shared" si="215"/>
        <v>A</v>
      </c>
      <c r="S183" s="773" t="str">
        <f t="shared" si="216"/>
        <v>A</v>
      </c>
      <c r="T183" s="773" t="str">
        <f t="shared" si="217"/>
        <v>A</v>
      </c>
      <c r="U183" s="773" t="str">
        <f t="shared" si="218"/>
        <v>A</v>
      </c>
      <c r="V183" s="773" t="str">
        <f t="shared" si="219"/>
        <v>A</v>
      </c>
      <c r="W183" s="773" t="str">
        <f t="shared" si="220"/>
        <v>A</v>
      </c>
      <c r="X183" s="773" t="str">
        <f t="shared" si="221"/>
        <v>A</v>
      </c>
      <c r="Y183" s="773" t="str">
        <f t="shared" si="222"/>
        <v>A</v>
      </c>
      <c r="Z183" s="773" t="str">
        <f t="shared" si="223"/>
        <v>A</v>
      </c>
      <c r="AA183" s="773" t="str">
        <f t="shared" si="224"/>
        <v>A</v>
      </c>
      <c r="AB183" s="773" t="str">
        <f t="shared" si="225"/>
        <v>A</v>
      </c>
      <c r="AC183" s="773" t="str">
        <f t="shared" si="226"/>
        <v>A</v>
      </c>
      <c r="AD183" s="876"/>
      <c r="AE183" s="863"/>
      <c r="AF183" s="870"/>
      <c r="AG183" s="1019"/>
      <c r="AH183" s="802"/>
      <c r="AI183" s="803"/>
    </row>
    <row r="184" spans="1:51" hidden="1" outlineLevel="1" x14ac:dyDescent="0.3">
      <c r="A184" s="159"/>
      <c r="B184" s="1191"/>
      <c r="C184" s="735" t="str">
        <f>'Optimalizačné opatrenia'!$B$9</f>
        <v>Auditovateľnosť</v>
      </c>
      <c r="D184" s="788" t="s">
        <v>542</v>
      </c>
      <c r="E184" s="773" t="s">
        <v>542</v>
      </c>
      <c r="F184" s="773" t="s">
        <v>542</v>
      </c>
      <c r="G184" s="773" t="str">
        <f t="shared" si="213"/>
        <v>A</v>
      </c>
      <c r="H184" s="773"/>
      <c r="I184" s="773"/>
      <c r="J184" s="773"/>
      <c r="K184" s="773"/>
      <c r="L184" s="773" t="str">
        <f t="shared" si="214"/>
        <v>A</v>
      </c>
      <c r="M184" s="773" t="str">
        <f t="shared" si="214"/>
        <v>A</v>
      </c>
      <c r="N184" s="773" t="s">
        <v>542</v>
      </c>
      <c r="O184" s="773"/>
      <c r="P184" s="773" t="str">
        <f t="shared" si="215"/>
        <v>A</v>
      </c>
      <c r="Q184" s="773" t="str">
        <f t="shared" si="215"/>
        <v>A</v>
      </c>
      <c r="R184" s="773" t="str">
        <f t="shared" si="215"/>
        <v>A</v>
      </c>
      <c r="S184" s="773" t="str">
        <f t="shared" si="216"/>
        <v>A</v>
      </c>
      <c r="T184" s="773" t="str">
        <f t="shared" si="217"/>
        <v>A</v>
      </c>
      <c r="U184" s="773" t="str">
        <f t="shared" si="218"/>
        <v>A</v>
      </c>
      <c r="V184" s="773" t="str">
        <f t="shared" si="219"/>
        <v>A</v>
      </c>
      <c r="W184" s="773" t="str">
        <f t="shared" si="220"/>
        <v>A</v>
      </c>
      <c r="X184" s="773" t="str">
        <f t="shared" si="221"/>
        <v>A</v>
      </c>
      <c r="Y184" s="773" t="str">
        <f t="shared" si="222"/>
        <v>A</v>
      </c>
      <c r="Z184" s="773" t="str">
        <f t="shared" si="223"/>
        <v>A</v>
      </c>
      <c r="AA184" s="773" t="str">
        <f t="shared" si="224"/>
        <v>A</v>
      </c>
      <c r="AB184" s="773" t="str">
        <f t="shared" si="225"/>
        <v>A</v>
      </c>
      <c r="AC184" s="773" t="str">
        <f t="shared" si="226"/>
        <v>A</v>
      </c>
      <c r="AD184" s="876"/>
      <c r="AE184" s="863"/>
      <c r="AF184" s="870"/>
      <c r="AG184" s="1019"/>
      <c r="AH184" s="802"/>
      <c r="AI184" s="803"/>
    </row>
    <row r="185" spans="1:51" hidden="1" outlineLevel="1" x14ac:dyDescent="0.3">
      <c r="A185" s="159"/>
      <c r="B185" s="1191"/>
      <c r="C185" s="735" t="str">
        <f>'Optimalizačné opatrenia'!$B$10</f>
        <v>Transparentnosť</v>
      </c>
      <c r="D185" s="788" t="s">
        <v>542</v>
      </c>
      <c r="E185" s="773" t="s">
        <v>542</v>
      </c>
      <c r="F185" s="773" t="s">
        <v>542</v>
      </c>
      <c r="G185" s="773" t="str">
        <f t="shared" si="213"/>
        <v>N</v>
      </c>
      <c r="H185" s="773"/>
      <c r="I185" s="773"/>
      <c r="J185" s="773"/>
      <c r="K185" s="773"/>
      <c r="L185" s="773" t="str">
        <f t="shared" si="214"/>
        <v>N</v>
      </c>
      <c r="M185" s="773" t="str">
        <f t="shared" si="214"/>
        <v>N</v>
      </c>
      <c r="N185" s="773" t="s">
        <v>542</v>
      </c>
      <c r="O185" s="773"/>
      <c r="P185" s="773" t="str">
        <f t="shared" si="215"/>
        <v>A</v>
      </c>
      <c r="Q185" s="773" t="str">
        <f t="shared" si="215"/>
        <v>N</v>
      </c>
      <c r="R185" s="773" t="str">
        <f t="shared" si="215"/>
        <v>N</v>
      </c>
      <c r="S185" s="773" t="str">
        <f t="shared" si="216"/>
        <v>N</v>
      </c>
      <c r="T185" s="773" t="str">
        <f t="shared" si="217"/>
        <v>N</v>
      </c>
      <c r="U185" s="773" t="str">
        <f t="shared" si="218"/>
        <v>N</v>
      </c>
      <c r="V185" s="773" t="str">
        <f t="shared" si="219"/>
        <v>A</v>
      </c>
      <c r="W185" s="773" t="str">
        <f t="shared" si="220"/>
        <v>N</v>
      </c>
      <c r="X185" s="773" t="str">
        <f t="shared" si="221"/>
        <v>N</v>
      </c>
      <c r="Y185" s="773" t="str">
        <f t="shared" si="222"/>
        <v>N</v>
      </c>
      <c r="Z185" s="773" t="str">
        <f t="shared" si="223"/>
        <v>N</v>
      </c>
      <c r="AA185" s="773" t="str">
        <f t="shared" si="224"/>
        <v>A</v>
      </c>
      <c r="AB185" s="773" t="str">
        <f t="shared" si="225"/>
        <v>N</v>
      </c>
      <c r="AC185" s="773" t="str">
        <f t="shared" si="226"/>
        <v>N</v>
      </c>
      <c r="AD185" s="876"/>
      <c r="AE185" s="863"/>
      <c r="AF185" s="870"/>
      <c r="AG185" s="1019"/>
      <c r="AH185" s="802"/>
      <c r="AI185" s="803"/>
    </row>
    <row r="186" spans="1:51" hidden="1" outlineLevel="1" x14ac:dyDescent="0.3">
      <c r="A186" s="159"/>
      <c r="B186" s="1191"/>
      <c r="C186" s="735" t="str">
        <f>'Optimalizačné opatrenia'!$B$11</f>
        <v>Analyzovatelnosť</v>
      </c>
      <c r="D186" s="788" t="s">
        <v>542</v>
      </c>
      <c r="E186" s="773" t="s">
        <v>542</v>
      </c>
      <c r="F186" s="773" t="s">
        <v>542</v>
      </c>
      <c r="G186" s="773" t="str">
        <f t="shared" si="213"/>
        <v>A</v>
      </c>
      <c r="H186" s="773"/>
      <c r="I186" s="773"/>
      <c r="J186" s="773"/>
      <c r="K186" s="773"/>
      <c r="L186" s="773" t="str">
        <f t="shared" si="214"/>
        <v>A</v>
      </c>
      <c r="M186" s="773" t="str">
        <f t="shared" si="214"/>
        <v>A</v>
      </c>
      <c r="N186" s="773" t="s">
        <v>542</v>
      </c>
      <c r="O186" s="773"/>
      <c r="P186" s="773" t="str">
        <f t="shared" si="215"/>
        <v>A</v>
      </c>
      <c r="Q186" s="773" t="str">
        <f t="shared" si="215"/>
        <v>A</v>
      </c>
      <c r="R186" s="773" t="str">
        <f t="shared" si="215"/>
        <v>A</v>
      </c>
      <c r="S186" s="773" t="str">
        <f t="shared" si="216"/>
        <v>A</v>
      </c>
      <c r="T186" s="773" t="str">
        <f t="shared" si="217"/>
        <v>A</v>
      </c>
      <c r="U186" s="773" t="str">
        <f t="shared" si="218"/>
        <v>A</v>
      </c>
      <c r="V186" s="773" t="str">
        <f t="shared" si="219"/>
        <v>A</v>
      </c>
      <c r="W186" s="773" t="str">
        <f t="shared" si="220"/>
        <v>A</v>
      </c>
      <c r="X186" s="773" t="str">
        <f t="shared" si="221"/>
        <v>A</v>
      </c>
      <c r="Y186" s="773" t="str">
        <f t="shared" si="222"/>
        <v>A</v>
      </c>
      <c r="Z186" s="773" t="str">
        <f t="shared" si="223"/>
        <v>A</v>
      </c>
      <c r="AA186" s="773" t="str">
        <f t="shared" si="224"/>
        <v>A</v>
      </c>
      <c r="AB186" s="773" t="str">
        <f t="shared" si="225"/>
        <v>A</v>
      </c>
      <c r="AC186" s="773" t="str">
        <f t="shared" si="226"/>
        <v>A</v>
      </c>
      <c r="AD186" s="876"/>
      <c r="AE186" s="863"/>
      <c r="AF186" s="870"/>
      <c r="AG186" s="1019"/>
      <c r="AH186" s="802"/>
      <c r="AI186" s="803"/>
    </row>
    <row r="187" spans="1:51" hidden="1" outlineLevel="1" x14ac:dyDescent="0.3">
      <c r="A187" s="159"/>
      <c r="B187" s="1191"/>
      <c r="C187" s="735" t="str">
        <f>'Optimalizačné opatrenia'!$B$12</f>
        <v>Integrácia</v>
      </c>
      <c r="D187" s="788" t="s">
        <v>542</v>
      </c>
      <c r="E187" s="773" t="s">
        <v>542</v>
      </c>
      <c r="F187" s="773" t="s">
        <v>542</v>
      </c>
      <c r="G187" s="773" t="str">
        <f t="shared" si="213"/>
        <v>A</v>
      </c>
      <c r="H187" s="773"/>
      <c r="I187" s="773"/>
      <c r="J187" s="773"/>
      <c r="K187" s="773"/>
      <c r="L187" s="773" t="str">
        <f t="shared" si="214"/>
        <v>A</v>
      </c>
      <c r="M187" s="773" t="str">
        <f t="shared" si="214"/>
        <v>A</v>
      </c>
      <c r="N187" s="773" t="s">
        <v>542</v>
      </c>
      <c r="O187" s="773"/>
      <c r="P187" s="773" t="str">
        <f t="shared" si="215"/>
        <v>A</v>
      </c>
      <c r="Q187" s="773" t="str">
        <f t="shared" si="215"/>
        <v>A</v>
      </c>
      <c r="R187" s="773" t="str">
        <f t="shared" si="215"/>
        <v>A</v>
      </c>
      <c r="S187" s="773" t="str">
        <f t="shared" si="216"/>
        <v>A</v>
      </c>
      <c r="T187" s="773" t="str">
        <f t="shared" si="217"/>
        <v>A</v>
      </c>
      <c r="U187" s="773" t="str">
        <f t="shared" si="218"/>
        <v>A</v>
      </c>
      <c r="V187" s="773" t="str">
        <f t="shared" si="219"/>
        <v>A</v>
      </c>
      <c r="W187" s="773" t="str">
        <f t="shared" si="220"/>
        <v>A</v>
      </c>
      <c r="X187" s="773" t="str">
        <f t="shared" si="221"/>
        <v>A</v>
      </c>
      <c r="Y187" s="773" t="str">
        <f t="shared" si="222"/>
        <v>A</v>
      </c>
      <c r="Z187" s="773" t="str">
        <f t="shared" si="223"/>
        <v>A</v>
      </c>
      <c r="AA187" s="773" t="str">
        <f t="shared" si="224"/>
        <v>A</v>
      </c>
      <c r="AB187" s="773" t="str">
        <f t="shared" si="225"/>
        <v>A</v>
      </c>
      <c r="AC187" s="773" t="str">
        <f t="shared" si="226"/>
        <v>A</v>
      </c>
      <c r="AD187" s="876"/>
      <c r="AE187" s="863"/>
      <c r="AF187" s="870"/>
      <c r="AG187" s="1019"/>
      <c r="AH187" s="802"/>
      <c r="AI187" s="803"/>
    </row>
    <row r="188" spans="1:51" hidden="1" outlineLevel="1" x14ac:dyDescent="0.3">
      <c r="A188" s="159"/>
      <c r="B188" s="1191"/>
      <c r="C188" s="740" t="str">
        <f>'Optimalizačné opatrenia'!$B$13</f>
        <v>Proaktivita</v>
      </c>
      <c r="D188" s="788" t="s">
        <v>542</v>
      </c>
      <c r="E188" s="773" t="s">
        <v>542</v>
      </c>
      <c r="F188" s="773" t="s">
        <v>542</v>
      </c>
      <c r="G188" s="773" t="str">
        <f t="shared" si="213"/>
        <v>N</v>
      </c>
      <c r="H188" s="773"/>
      <c r="I188" s="773"/>
      <c r="J188" s="773"/>
      <c r="K188" s="773"/>
      <c r="L188" s="773" t="str">
        <f t="shared" si="214"/>
        <v>A</v>
      </c>
      <c r="M188" s="773" t="str">
        <f t="shared" si="214"/>
        <v>N</v>
      </c>
      <c r="N188" s="773" t="s">
        <v>542</v>
      </c>
      <c r="O188" s="773"/>
      <c r="P188" s="773" t="str">
        <f t="shared" si="215"/>
        <v>N</v>
      </c>
      <c r="Q188" s="773" t="str">
        <f t="shared" si="215"/>
        <v>N</v>
      </c>
      <c r="R188" s="773" t="str">
        <f t="shared" si="215"/>
        <v>A</v>
      </c>
      <c r="S188" s="773" t="str">
        <f t="shared" si="216"/>
        <v>A</v>
      </c>
      <c r="T188" s="773" t="str">
        <f t="shared" si="217"/>
        <v>A</v>
      </c>
      <c r="U188" s="773" t="str">
        <f t="shared" si="218"/>
        <v>N</v>
      </c>
      <c r="V188" s="773" t="str">
        <f t="shared" si="219"/>
        <v>A</v>
      </c>
      <c r="W188" s="773" t="str">
        <f t="shared" si="220"/>
        <v>N</v>
      </c>
      <c r="X188" s="773" t="str">
        <f t="shared" si="221"/>
        <v>N</v>
      </c>
      <c r="Y188" s="773" t="str">
        <f t="shared" si="222"/>
        <v>A</v>
      </c>
      <c r="Z188" s="773" t="str">
        <f t="shared" si="223"/>
        <v>A</v>
      </c>
      <c r="AA188" s="773" t="str">
        <f t="shared" si="224"/>
        <v>A</v>
      </c>
      <c r="AB188" s="773" t="str">
        <f t="shared" si="225"/>
        <v>N</v>
      </c>
      <c r="AC188" s="773" t="str">
        <f t="shared" si="226"/>
        <v>A</v>
      </c>
      <c r="AD188" s="876"/>
      <c r="AE188" s="863"/>
      <c r="AF188" s="870"/>
      <c r="AG188" s="1019"/>
      <c r="AH188" s="802"/>
      <c r="AI188" s="803"/>
    </row>
    <row r="189" spans="1:51" hidden="1" outlineLevel="1" x14ac:dyDescent="0.3">
      <c r="A189" s="159"/>
      <c r="B189" s="790"/>
      <c r="C189" s="792" t="s">
        <v>550</v>
      </c>
      <c r="D189" s="793">
        <v>0</v>
      </c>
      <c r="E189" s="791">
        <v>0</v>
      </c>
      <c r="F189" s="794">
        <v>0</v>
      </c>
      <c r="G189" s="794">
        <f t="shared" si="213"/>
        <v>0.3</v>
      </c>
      <c r="H189" s="794"/>
      <c r="I189" s="794"/>
      <c r="J189" s="794"/>
      <c r="K189" s="794"/>
      <c r="L189" s="794">
        <f t="shared" si="214"/>
        <v>0.4</v>
      </c>
      <c r="M189" s="794">
        <f t="shared" si="214"/>
        <v>0.3</v>
      </c>
      <c r="N189" s="794">
        <v>0</v>
      </c>
      <c r="O189" s="794"/>
      <c r="P189" s="794">
        <f t="shared" si="215"/>
        <v>0.45</v>
      </c>
      <c r="Q189" s="794">
        <f t="shared" si="215"/>
        <v>0.3</v>
      </c>
      <c r="R189" s="794">
        <f t="shared" si="215"/>
        <v>0.4</v>
      </c>
      <c r="S189" s="794">
        <f t="shared" si="216"/>
        <v>0.4</v>
      </c>
      <c r="T189" s="794">
        <f t="shared" si="217"/>
        <v>0.4</v>
      </c>
      <c r="U189" s="794">
        <f t="shared" si="218"/>
        <v>0.3</v>
      </c>
      <c r="V189" s="794">
        <f t="shared" si="219"/>
        <v>0.5</v>
      </c>
      <c r="W189" s="794">
        <f t="shared" si="220"/>
        <v>0.3</v>
      </c>
      <c r="X189" s="794">
        <f t="shared" si="221"/>
        <v>0.3</v>
      </c>
      <c r="Y189" s="794">
        <f t="shared" si="222"/>
        <v>0.4</v>
      </c>
      <c r="Z189" s="794">
        <f t="shared" si="223"/>
        <v>0.4</v>
      </c>
      <c r="AA189" s="794">
        <f t="shared" si="224"/>
        <v>0.5</v>
      </c>
      <c r="AB189" s="794">
        <f t="shared" si="225"/>
        <v>0.3</v>
      </c>
      <c r="AC189" s="794">
        <f t="shared" si="226"/>
        <v>0.4</v>
      </c>
      <c r="AD189" s="877"/>
      <c r="AE189" s="864"/>
      <c r="AF189" s="871"/>
      <c r="AG189" s="1020"/>
      <c r="AH189" s="805"/>
      <c r="AI189" s="806"/>
    </row>
    <row r="190" spans="1:51" ht="15" collapsed="1" thickBot="1" x14ac:dyDescent="0.35">
      <c r="A190" s="159"/>
      <c r="B190" s="811"/>
      <c r="C190" s="812" t="s">
        <v>601</v>
      </c>
      <c r="D190" s="813"/>
      <c r="E190" s="813"/>
      <c r="F190" s="813"/>
      <c r="G190" s="814"/>
      <c r="H190" s="814"/>
      <c r="I190" s="814"/>
      <c r="J190" s="814"/>
      <c r="K190" s="814"/>
      <c r="L190" s="814"/>
      <c r="M190" s="814"/>
      <c r="N190" s="814"/>
      <c r="O190" s="814"/>
      <c r="P190" s="814"/>
      <c r="Q190" s="814"/>
      <c r="R190" s="814"/>
      <c r="S190" s="814"/>
      <c r="T190" s="814"/>
      <c r="U190" s="814"/>
      <c r="V190" s="814"/>
      <c r="W190" s="814"/>
      <c r="X190" s="814"/>
      <c r="Y190" s="814"/>
      <c r="Z190" s="814"/>
      <c r="AA190" s="814"/>
      <c r="AB190" s="814"/>
      <c r="AC190" s="814"/>
      <c r="AD190" s="821"/>
      <c r="AE190" s="865"/>
      <c r="AF190" s="872">
        <f>'Procesy - AS IS'!AG47/(1+$AE91)-'Procesy - AS IS'!AG47</f>
        <v>47.282378027372943</v>
      </c>
      <c r="AG190" s="1021">
        <f>'Procesy - AS IS'!AH47/(1+$AE91)-'Procesy - AS IS'!AH47</f>
        <v>16.504226292573577</v>
      </c>
      <c r="AH190" s="816">
        <f>'Procesy - AS IS'!AI47/(1+$AE91)-'Procesy - AS IS'!AI47</f>
        <v>14.719985612295353</v>
      </c>
      <c r="AI190" s="817">
        <f>'Procesy - AS IS'!AJ47/(1+$AE91)-'Procesy - AS IS'!AJ47</f>
        <v>2.6763610204173371</v>
      </c>
    </row>
    <row r="191" spans="1:51" x14ac:dyDescent="0.3">
      <c r="A191" s="159"/>
      <c r="B191" s="725" t="str">
        <f>'Procesy - AS IS'!B48</f>
        <v>Zdroj 3</v>
      </c>
      <c r="C191" s="726" t="str">
        <f>'Procesy - AS IS'!C48</f>
        <v>Inšpekcia odpadového hospodárstva</v>
      </c>
      <c r="D191" s="796">
        <f>D192*$AF192/($AF191-$AF290)+D206*$AF192/($AF191-$AF290)+D220*$AF192/($AF191-$AF290)+D262*$AF192/($AF191-$AF290)+D276*$AF192/($AF191-$AF290)</f>
        <v>0</v>
      </c>
      <c r="E191" s="719">
        <f>E192*$AF192/($AF191-$AF290)+E206*$AF192/($AF191-$AF290)+E220*$AF192/($AF191-$AF290)+E262*$AF192/($AF191-$AF290)+E276*$AF192/($AF191-$AF290)</f>
        <v>0</v>
      </c>
      <c r="F191" s="719">
        <f>F192*$AF192/($AF191-$AF290)+F206*$AF192/($AF191-$AF290)+F220*$AF192/($AF191-$AF290)+F262*$AF192/($AF191-$AF290)+F276*$AF192/($AF191-$AF290)</f>
        <v>0</v>
      </c>
      <c r="G191" s="729">
        <f>G192*$AF192/($AF191-$AF290)+G206*$AF192/($AF191-$AF290)+G220*$AF192/($AF191-$AF290)+G262*$AF192/($AF191-$AF290)+G276*$AF192/($AF191-$AF290)</f>
        <v>-3.0154746937285752</v>
      </c>
      <c r="H191" s="722"/>
      <c r="I191" s="722"/>
      <c r="J191" s="722"/>
      <c r="K191" s="722"/>
      <c r="L191" s="729">
        <f>L192*$AF192/($AF191-$AF290)+L206*$AF192/($AF191-$AF290)+L220*$AF192/($AF191-$AF290)+L262*$AF192/($AF191-$AF290)+L276*$AF192/($AF191-$AF290)</f>
        <v>-0.10256716645335291</v>
      </c>
      <c r="M191" s="729">
        <f>M192*$AF192/($AF191-$AF290)+M206*$AF192/($AF191-$AF290)+M220*$AF192/($AF191-$AF290)+M262*$AF192/($AF191-$AF290)+M276*$AF192/($AF191-$AF290)</f>
        <v>-1.0154149478881938</v>
      </c>
      <c r="N191" s="729">
        <f>N192*$AF192/($AF191-$AF290)+N206*$AF192/($AF191-$AF290)+N220*$AF192/($AF191-$AF290)+N262*$AF192/($AF191-$AF290)+N276*$AF192/($AF191-$AF290)</f>
        <v>0</v>
      </c>
      <c r="O191" s="719"/>
      <c r="P191" s="719">
        <f t="shared" ref="P191:AB191" si="227">P192*$AF192/($AF191-$AF290)+P206*$AF192/($AF191-$AF290)+P220*$AF192/($AF191-$AF290)+P262*$AF192/($AF191-$AF290)+P276*$AF192/($AF191-$AF290)</f>
        <v>-4.9847642896329516</v>
      </c>
      <c r="Q191" s="719">
        <f t="shared" si="227"/>
        <v>0</v>
      </c>
      <c r="R191" s="719">
        <f t="shared" si="227"/>
        <v>-3.5083683770480243</v>
      </c>
      <c r="S191" s="719">
        <f t="shared" si="227"/>
        <v>-6.7483482682872662</v>
      </c>
      <c r="T191" s="719">
        <f t="shared" si="227"/>
        <v>-1.7451289335285991</v>
      </c>
      <c r="U191" s="719">
        <f t="shared" si="227"/>
        <v>-1.8464596593783735</v>
      </c>
      <c r="V191" s="719">
        <f t="shared" si="227"/>
        <v>-0.30770149936005875</v>
      </c>
      <c r="W191" s="719">
        <f t="shared" si="227"/>
        <v>-6.3400024467128988E-2</v>
      </c>
      <c r="X191" s="719">
        <f t="shared" si="227"/>
        <v>0</v>
      </c>
      <c r="Y191" s="719">
        <f t="shared" si="227"/>
        <v>-0.66804367294868205</v>
      </c>
      <c r="Z191" s="719">
        <f t="shared" si="227"/>
        <v>-3.9917538829755839E-3</v>
      </c>
      <c r="AA191" s="719">
        <f t="shared" si="227"/>
        <v>-1.4852990128476405E-2</v>
      </c>
      <c r="AB191" s="719">
        <f t="shared" si="227"/>
        <v>-9.8624018113211961E-2</v>
      </c>
      <c r="AC191" s="719">
        <f>AC192*$AF192/($AF191-$AF290)+AC206*$AF206/($AF191-$AF290)+AC220*$AF220/($AF191-$AF290)+AC234*$AF234/($AF191-$AF290)+AC248*$AF248/($AF191-$AF290)+AC262*$AF262/($AF191-$AF290)+AC276*$AF276/($AF191-$AF290)</f>
        <v>-0.20523509681611585</v>
      </c>
      <c r="AD191" s="822">
        <f>SUM(AD192:AD276)</f>
        <v>-174.31459882782707</v>
      </c>
      <c r="AE191" s="862">
        <f>-SUM(AF192:AF289)/('Procesy - AS IS'!AG48+SUM(AF192:AF289))</f>
        <v>-0.23512619974153531</v>
      </c>
      <c r="AF191" s="873">
        <f>SUM(AF192:AF290)</f>
        <v>211.18738694912844</v>
      </c>
      <c r="AG191" s="1022">
        <f>SUM(AG192:AG290)</f>
        <v>58.19084604590676</v>
      </c>
      <c r="AH191" s="807">
        <f>SUM(AH192:AH290)</f>
        <v>35.21744559468943</v>
      </c>
      <c r="AI191" s="808">
        <f>SUM(AI192:AI290)</f>
        <v>5.9338264396441209</v>
      </c>
      <c r="AK191" s="232"/>
      <c r="AL191"/>
      <c r="AY191" s="227"/>
    </row>
    <row r="192" spans="1:51" ht="57.6" x14ac:dyDescent="0.3">
      <c r="A192" s="159">
        <f ca="1">OFFSET(A192,-16,0)+1</f>
        <v>14</v>
      </c>
      <c r="B192" s="736" t="str">
        <f ca="1">'Procesy - AS IS'!B49</f>
        <v>Meranie č. 14</v>
      </c>
      <c r="C192" s="739" t="str">
        <f>'Procesy - AS IS'!C49</f>
        <v>Jozef Gregor, EKO TRANS, Pezinok, prevádzka Pod gaštanmi, Bratislava, Kontrola pôvodcov a držiteľov odpadov, 4087/2018</v>
      </c>
      <c r="D192" s="796">
        <f>-'Procesy - AS IS'!D51*D205</f>
        <v>0</v>
      </c>
      <c r="E192" s="721">
        <f>-'Procesy - AS IS'!E51*E205</f>
        <v>0</v>
      </c>
      <c r="F192" s="721">
        <f>-'Procesy - AS IS'!F51*F205</f>
        <v>0</v>
      </c>
      <c r="G192" s="721">
        <f>-'Procesy - AS IS'!G51*G205</f>
        <v>-0.89999999999999991</v>
      </c>
      <c r="H192" s="721" t="s">
        <v>568</v>
      </c>
      <c r="I192" s="721" t="s">
        <v>568</v>
      </c>
      <c r="J192" s="721" t="s">
        <v>568</v>
      </c>
      <c r="K192" s="721" t="s">
        <v>568</v>
      </c>
      <c r="L192" s="721">
        <f>-'Procesy - AS IS'!L51*L205</f>
        <v>-0.2</v>
      </c>
      <c r="M192" s="721">
        <f>-'Procesy - AS IS'!M51*M205</f>
        <v>-0.89999999999999991</v>
      </c>
      <c r="N192" s="721">
        <f>-'Procesy - AS IS'!N51*N205</f>
        <v>0</v>
      </c>
      <c r="O192" s="721" t="s">
        <v>572</v>
      </c>
      <c r="P192" s="721">
        <f>-'Procesy - AS IS'!P51*P205</f>
        <v>-3.6</v>
      </c>
      <c r="Q192" s="721">
        <f>-'Procesy - AS IS'!Q51*Q205</f>
        <v>0</v>
      </c>
      <c r="R192" s="721">
        <f>-'Procesy - AS IS'!R51*R205</f>
        <v>-1.862776618668126</v>
      </c>
      <c r="S192" s="721">
        <f>-'Procesy - AS IS'!S51*S205</f>
        <v>-4.1372233813318742</v>
      </c>
      <c r="T192" s="721">
        <f>-'Procesy - AS IS'!T51*T205</f>
        <v>-1.241851079112084</v>
      </c>
      <c r="U192" s="721">
        <f>-'Procesy - AS IS'!U51*U205</f>
        <v>-0.20686116906659369</v>
      </c>
      <c r="V192" s="721">
        <f>-'Procesy - AS IS'!V51*V205</f>
        <v>-0.25</v>
      </c>
      <c r="W192" s="721">
        <f>-'Procesy - AS IS'!W51*W205</f>
        <v>-8.5207100591715976E-2</v>
      </c>
      <c r="X192" s="721">
        <f>-'Procesy - AS IS'!X51*X205</f>
        <v>0</v>
      </c>
      <c r="Y192" s="721">
        <f>-'Procesy - AS IS'!Y51*Y205</f>
        <v>-0.75739644970414199</v>
      </c>
      <c r="Z192" s="721">
        <f>-'Procesy - AS IS'!Z51*Z205</f>
        <v>-7.3964497041420114E-3</v>
      </c>
      <c r="AA192" s="721">
        <f>-'Procesy - AS IS'!AA51*AA205</f>
        <v>-2.9585798816568046E-2</v>
      </c>
      <c r="AB192" s="721">
        <f>-'Procesy - AS IS'!AB51*AB205</f>
        <v>-0.1420118343195266</v>
      </c>
      <c r="AC192" s="721">
        <f>-'Procesy - AS IS'!AC51*AC205</f>
        <v>-0.29585798816568043</v>
      </c>
      <c r="AD192" s="824">
        <f>SUM(D192:AC192)</f>
        <v>-14.616167869480455</v>
      </c>
      <c r="AE192" s="798">
        <f>AD192/'Procesy - AS IS'!AD51</f>
        <v>-0.29399256991503558</v>
      </c>
      <c r="AF192" s="869">
        <f>('Procesy - AS IS'!AG51/(1+$AE192)-'Procesy - AS IS'!AG51)/2</f>
        <v>35.18712565791391</v>
      </c>
      <c r="AG192" s="1018">
        <f>('Procesy - AS IS'!AH51/(1+$AE192)-'Procesy - AS IS'!AH51)/2</f>
        <v>10.924292492283222</v>
      </c>
      <c r="AH192" s="800">
        <f>('Procesy - AS IS'!AI51/(1+$AE192)-'Procesy - AS IS'!AI51)/2</f>
        <v>6.6626510121493787</v>
      </c>
      <c r="AI192" s="801">
        <f>('Procesy - AS IS'!AJ51/(1+$AE192)-'Procesy - AS IS'!AJ51)/2</f>
        <v>1.0410392206483405</v>
      </c>
      <c r="AK192" s="232"/>
      <c r="AY192" s="227"/>
    </row>
    <row r="193" spans="1:51" hidden="1" outlineLevel="1" x14ac:dyDescent="0.3">
      <c r="A193" s="159"/>
      <c r="B193" s="1190" t="s">
        <v>540</v>
      </c>
      <c r="C193" s="735" t="str">
        <f>'Optimalizačné opatrenia'!$B$2</f>
        <v>Modernizácia</v>
      </c>
      <c r="D193" s="788" t="s">
        <v>542</v>
      </c>
      <c r="E193" s="773" t="s">
        <v>542</v>
      </c>
      <c r="F193" s="773" t="s">
        <v>542</v>
      </c>
      <c r="G193" s="773" t="str">
        <f t="shared" ref="G193:G205" si="228">G77</f>
        <v>A</v>
      </c>
      <c r="H193" s="773"/>
      <c r="I193" s="773"/>
      <c r="J193" s="773"/>
      <c r="K193" s="773"/>
      <c r="L193" s="773" t="str">
        <f t="shared" ref="L193:L205" si="229">R107</f>
        <v>A</v>
      </c>
      <c r="M193" s="773" t="str">
        <f t="shared" ref="M193:M205" si="230">G193</f>
        <v>A</v>
      </c>
      <c r="N193" s="773" t="s">
        <v>542</v>
      </c>
      <c r="O193" s="773"/>
      <c r="P193" s="773" t="str">
        <f t="shared" ref="P193:P205" si="231">P7</f>
        <v>A</v>
      </c>
      <c r="Q193" s="773" t="str">
        <f t="shared" ref="Q193:Q205" si="232">G193</f>
        <v>A</v>
      </c>
      <c r="R193" s="773" t="str">
        <f t="shared" ref="R193:R205" si="233">R35</f>
        <v>A</v>
      </c>
      <c r="S193" s="773" t="str">
        <f t="shared" ref="S193:S205" si="234">R193</f>
        <v>A</v>
      </c>
      <c r="T193" s="773" t="str">
        <f t="shared" ref="T193:T205" si="235">R193</f>
        <v>A</v>
      </c>
      <c r="U193" s="773" t="str">
        <f t="shared" ref="U193:U205" si="236">G193</f>
        <v>A</v>
      </c>
      <c r="V193" s="773" t="str">
        <f t="shared" ref="V193:W205" si="237">V7</f>
        <v>A</v>
      </c>
      <c r="W193" s="773" t="str">
        <f t="shared" si="237"/>
        <v>A</v>
      </c>
      <c r="X193" s="773" t="str">
        <f t="shared" ref="X193:X205" si="238">G193</f>
        <v>A</v>
      </c>
      <c r="Y193" s="773" t="str">
        <f t="shared" ref="Y193:Y205" si="239">R193</f>
        <v>A</v>
      </c>
      <c r="Z193" s="773" t="str">
        <f t="shared" ref="Z193:Z205" si="240">R193</f>
        <v>A</v>
      </c>
      <c r="AA193" s="773" t="str">
        <f t="shared" ref="AA193:AA205" si="241">$V193</f>
        <v>A</v>
      </c>
      <c r="AB193" s="773" t="str">
        <f t="shared" ref="AB193:AB205" si="242">G193</f>
        <v>A</v>
      </c>
      <c r="AC193" s="773" t="str">
        <f t="shared" ref="AC193:AC205" si="243">R193</f>
        <v>A</v>
      </c>
      <c r="AD193" s="876"/>
      <c r="AE193" s="863"/>
      <c r="AF193" s="870"/>
      <c r="AG193" s="1019"/>
      <c r="AH193" s="802"/>
      <c r="AI193" s="803"/>
    </row>
    <row r="194" spans="1:51" hidden="1" outlineLevel="1" x14ac:dyDescent="0.3">
      <c r="A194" s="159"/>
      <c r="B194" s="1191"/>
      <c r="C194" s="735" t="str">
        <f>'Optimalizačné opatrenia'!$B$3</f>
        <v>Sfunkčnenie</v>
      </c>
      <c r="D194" s="788" t="s">
        <v>542</v>
      </c>
      <c r="E194" s="773" t="s">
        <v>542</v>
      </c>
      <c r="F194" s="773" t="s">
        <v>542</v>
      </c>
      <c r="G194" s="773" t="str">
        <f t="shared" si="228"/>
        <v>N</v>
      </c>
      <c r="H194" s="773"/>
      <c r="I194" s="773"/>
      <c r="J194" s="773"/>
      <c r="K194" s="773"/>
      <c r="L194" s="773" t="str">
        <f t="shared" si="229"/>
        <v>N</v>
      </c>
      <c r="M194" s="773" t="str">
        <f t="shared" si="230"/>
        <v>N</v>
      </c>
      <c r="N194" s="773" t="s">
        <v>542</v>
      </c>
      <c r="O194" s="773"/>
      <c r="P194" s="773" t="str">
        <f t="shared" si="231"/>
        <v>N</v>
      </c>
      <c r="Q194" s="773" t="str">
        <f t="shared" si="232"/>
        <v>N</v>
      </c>
      <c r="R194" s="773" t="str">
        <f t="shared" si="233"/>
        <v>N</v>
      </c>
      <c r="S194" s="773" t="str">
        <f t="shared" si="234"/>
        <v>N</v>
      </c>
      <c r="T194" s="773" t="str">
        <f t="shared" si="235"/>
        <v>N</v>
      </c>
      <c r="U194" s="773" t="str">
        <f t="shared" si="236"/>
        <v>N</v>
      </c>
      <c r="V194" s="773" t="str">
        <f t="shared" si="237"/>
        <v>N</v>
      </c>
      <c r="W194" s="773" t="str">
        <f t="shared" si="237"/>
        <v>N</v>
      </c>
      <c r="X194" s="773" t="str">
        <f t="shared" si="238"/>
        <v>N</v>
      </c>
      <c r="Y194" s="773" t="str">
        <f t="shared" si="239"/>
        <v>N</v>
      </c>
      <c r="Z194" s="773" t="str">
        <f t="shared" si="240"/>
        <v>N</v>
      </c>
      <c r="AA194" s="773" t="str">
        <f t="shared" si="241"/>
        <v>N</v>
      </c>
      <c r="AB194" s="773" t="str">
        <f t="shared" si="242"/>
        <v>N</v>
      </c>
      <c r="AC194" s="773" t="str">
        <f t="shared" si="243"/>
        <v>N</v>
      </c>
      <c r="AD194" s="876"/>
      <c r="AE194" s="863"/>
      <c r="AF194" s="870"/>
      <c r="AG194" s="1019"/>
      <c r="AH194" s="802"/>
      <c r="AI194" s="803"/>
    </row>
    <row r="195" spans="1:51" hidden="1" outlineLevel="1" x14ac:dyDescent="0.3">
      <c r="A195" s="159"/>
      <c r="B195" s="1191"/>
      <c r="C195" s="735" t="str">
        <f>'Optimalizačné opatrenia'!$B$4</f>
        <v>Zjednotenie</v>
      </c>
      <c r="D195" s="788" t="s">
        <v>542</v>
      </c>
      <c r="E195" s="773" t="s">
        <v>542</v>
      </c>
      <c r="F195" s="773" t="s">
        <v>542</v>
      </c>
      <c r="G195" s="773" t="str">
        <f t="shared" si="228"/>
        <v>A</v>
      </c>
      <c r="H195" s="773"/>
      <c r="I195" s="773"/>
      <c r="J195" s="773"/>
      <c r="K195" s="773"/>
      <c r="L195" s="773" t="str">
        <f t="shared" si="229"/>
        <v>A</v>
      </c>
      <c r="M195" s="773" t="str">
        <f t="shared" si="230"/>
        <v>A</v>
      </c>
      <c r="N195" s="773" t="s">
        <v>542</v>
      </c>
      <c r="O195" s="773"/>
      <c r="P195" s="773" t="str">
        <f t="shared" si="231"/>
        <v>A</v>
      </c>
      <c r="Q195" s="773" t="str">
        <f t="shared" si="232"/>
        <v>A</v>
      </c>
      <c r="R195" s="773" t="str">
        <f t="shared" si="233"/>
        <v>A</v>
      </c>
      <c r="S195" s="773" t="str">
        <f t="shared" si="234"/>
        <v>A</v>
      </c>
      <c r="T195" s="773" t="str">
        <f t="shared" si="235"/>
        <v>A</v>
      </c>
      <c r="U195" s="773" t="str">
        <f t="shared" si="236"/>
        <v>A</v>
      </c>
      <c r="V195" s="773" t="str">
        <f t="shared" si="237"/>
        <v>A</v>
      </c>
      <c r="W195" s="773" t="str">
        <f t="shared" si="237"/>
        <v>A</v>
      </c>
      <c r="X195" s="773" t="str">
        <f t="shared" si="238"/>
        <v>A</v>
      </c>
      <c r="Y195" s="773" t="str">
        <f t="shared" si="239"/>
        <v>A</v>
      </c>
      <c r="Z195" s="773" t="str">
        <f t="shared" si="240"/>
        <v>A</v>
      </c>
      <c r="AA195" s="773" t="str">
        <f t="shared" si="241"/>
        <v>A</v>
      </c>
      <c r="AB195" s="773" t="str">
        <f t="shared" si="242"/>
        <v>A</v>
      </c>
      <c r="AC195" s="773" t="str">
        <f t="shared" si="243"/>
        <v>A</v>
      </c>
      <c r="AD195" s="876"/>
      <c r="AE195" s="863"/>
      <c r="AF195" s="870"/>
      <c r="AG195" s="1019"/>
      <c r="AH195" s="802"/>
      <c r="AI195" s="803"/>
    </row>
    <row r="196" spans="1:51" hidden="1" outlineLevel="1" x14ac:dyDescent="0.3">
      <c r="A196" s="159"/>
      <c r="B196" s="1191"/>
      <c r="C196" s="735" t="str">
        <f>'Optimalizačné opatrenia'!$B$5</f>
        <v>Centralizácia</v>
      </c>
      <c r="D196" s="788" t="s">
        <v>542</v>
      </c>
      <c r="E196" s="773" t="s">
        <v>542</v>
      </c>
      <c r="F196" s="773" t="s">
        <v>542</v>
      </c>
      <c r="G196" s="773" t="str">
        <f t="shared" si="228"/>
        <v>A</v>
      </c>
      <c r="H196" s="773"/>
      <c r="I196" s="773"/>
      <c r="J196" s="773"/>
      <c r="K196" s="773"/>
      <c r="L196" s="773" t="str">
        <f t="shared" si="229"/>
        <v>A</v>
      </c>
      <c r="M196" s="773" t="str">
        <f t="shared" si="230"/>
        <v>A</v>
      </c>
      <c r="N196" s="773" t="s">
        <v>542</v>
      </c>
      <c r="O196" s="773"/>
      <c r="P196" s="773" t="str">
        <f t="shared" si="231"/>
        <v>A</v>
      </c>
      <c r="Q196" s="773" t="str">
        <f t="shared" si="232"/>
        <v>A</v>
      </c>
      <c r="R196" s="773" t="str">
        <f t="shared" si="233"/>
        <v>A</v>
      </c>
      <c r="S196" s="773" t="str">
        <f t="shared" si="234"/>
        <v>A</v>
      </c>
      <c r="T196" s="773" t="str">
        <f t="shared" si="235"/>
        <v>A</v>
      </c>
      <c r="U196" s="773" t="str">
        <f t="shared" si="236"/>
        <v>A</v>
      </c>
      <c r="V196" s="773" t="str">
        <f t="shared" si="237"/>
        <v>A</v>
      </c>
      <c r="W196" s="773" t="str">
        <f t="shared" si="237"/>
        <v>A</v>
      </c>
      <c r="X196" s="773" t="str">
        <f t="shared" si="238"/>
        <v>A</v>
      </c>
      <c r="Y196" s="773" t="str">
        <f t="shared" si="239"/>
        <v>A</v>
      </c>
      <c r="Z196" s="773" t="str">
        <f t="shared" si="240"/>
        <v>A</v>
      </c>
      <c r="AA196" s="773" t="str">
        <f t="shared" si="241"/>
        <v>A</v>
      </c>
      <c r="AB196" s="773" t="str">
        <f t="shared" si="242"/>
        <v>A</v>
      </c>
      <c r="AC196" s="773" t="str">
        <f t="shared" si="243"/>
        <v>A</v>
      </c>
      <c r="AD196" s="876"/>
      <c r="AE196" s="863"/>
      <c r="AF196" s="870"/>
      <c r="AG196" s="1019"/>
      <c r="AH196" s="802"/>
      <c r="AI196" s="803"/>
    </row>
    <row r="197" spans="1:51" hidden="1" outlineLevel="1" x14ac:dyDescent="0.3">
      <c r="A197" s="159"/>
      <c r="B197" s="1191"/>
      <c r="C197" s="735" t="str">
        <f>'Optimalizačné opatrenia'!$B$6</f>
        <v>Elektronizácia</v>
      </c>
      <c r="D197" s="788" t="s">
        <v>542</v>
      </c>
      <c r="E197" s="773" t="s">
        <v>542</v>
      </c>
      <c r="F197" s="773" t="s">
        <v>542</v>
      </c>
      <c r="G197" s="773" t="str">
        <f t="shared" si="228"/>
        <v>A</v>
      </c>
      <c r="H197" s="773"/>
      <c r="I197" s="773"/>
      <c r="J197" s="773"/>
      <c r="K197" s="773"/>
      <c r="L197" s="773" t="str">
        <f t="shared" si="229"/>
        <v>A</v>
      </c>
      <c r="M197" s="773" t="str">
        <f t="shared" si="230"/>
        <v>A</v>
      </c>
      <c r="N197" s="773" t="s">
        <v>542</v>
      </c>
      <c r="O197" s="773"/>
      <c r="P197" s="773" t="str">
        <f t="shared" si="231"/>
        <v>A</v>
      </c>
      <c r="Q197" s="773" t="str">
        <f t="shared" si="232"/>
        <v>A</v>
      </c>
      <c r="R197" s="773" t="str">
        <f t="shared" si="233"/>
        <v>A</v>
      </c>
      <c r="S197" s="773" t="str">
        <f t="shared" si="234"/>
        <v>A</v>
      </c>
      <c r="T197" s="773" t="str">
        <f t="shared" si="235"/>
        <v>A</v>
      </c>
      <c r="U197" s="773" t="str">
        <f t="shared" si="236"/>
        <v>A</v>
      </c>
      <c r="V197" s="773" t="str">
        <f t="shared" si="237"/>
        <v>A</v>
      </c>
      <c r="W197" s="773" t="str">
        <f t="shared" si="237"/>
        <v>A</v>
      </c>
      <c r="X197" s="773" t="str">
        <f t="shared" si="238"/>
        <v>A</v>
      </c>
      <c r="Y197" s="773" t="str">
        <f t="shared" si="239"/>
        <v>A</v>
      </c>
      <c r="Z197" s="773" t="str">
        <f t="shared" si="240"/>
        <v>A</v>
      </c>
      <c r="AA197" s="773" t="str">
        <f t="shared" si="241"/>
        <v>A</v>
      </c>
      <c r="AB197" s="773" t="str">
        <f t="shared" si="242"/>
        <v>A</v>
      </c>
      <c r="AC197" s="773" t="str">
        <f t="shared" si="243"/>
        <v>A</v>
      </c>
      <c r="AD197" s="876"/>
      <c r="AE197" s="863"/>
      <c r="AF197" s="870"/>
      <c r="AG197" s="1019"/>
      <c r="AH197" s="802"/>
      <c r="AI197" s="803"/>
    </row>
    <row r="198" spans="1:51" hidden="1" outlineLevel="1" x14ac:dyDescent="0.3">
      <c r="A198" s="159"/>
      <c r="B198" s="1191"/>
      <c r="C198" s="735" t="str">
        <f>'Optimalizačné opatrenia'!$B$7</f>
        <v>Automatizácia</v>
      </c>
      <c r="D198" s="788" t="s">
        <v>542</v>
      </c>
      <c r="E198" s="773" t="s">
        <v>542</v>
      </c>
      <c r="F198" s="773" t="s">
        <v>542</v>
      </c>
      <c r="G198" s="773" t="str">
        <f t="shared" si="228"/>
        <v>A</v>
      </c>
      <c r="H198" s="773"/>
      <c r="I198" s="773"/>
      <c r="J198" s="773"/>
      <c r="K198" s="773"/>
      <c r="L198" s="773" t="str">
        <f t="shared" si="229"/>
        <v>A</v>
      </c>
      <c r="M198" s="773" t="str">
        <f t="shared" si="230"/>
        <v>A</v>
      </c>
      <c r="N198" s="773" t="s">
        <v>542</v>
      </c>
      <c r="O198" s="773"/>
      <c r="P198" s="773" t="str">
        <f t="shared" si="231"/>
        <v>A</v>
      </c>
      <c r="Q198" s="773" t="str">
        <f t="shared" si="232"/>
        <v>A</v>
      </c>
      <c r="R198" s="773" t="str">
        <f t="shared" si="233"/>
        <v>A</v>
      </c>
      <c r="S198" s="773" t="str">
        <f t="shared" si="234"/>
        <v>A</v>
      </c>
      <c r="T198" s="773" t="str">
        <f t="shared" si="235"/>
        <v>A</v>
      </c>
      <c r="U198" s="773" t="str">
        <f t="shared" si="236"/>
        <v>A</v>
      </c>
      <c r="V198" s="773" t="str">
        <f t="shared" si="237"/>
        <v>A</v>
      </c>
      <c r="W198" s="773" t="str">
        <f t="shared" si="237"/>
        <v>A</v>
      </c>
      <c r="X198" s="773" t="str">
        <f t="shared" si="238"/>
        <v>A</v>
      </c>
      <c r="Y198" s="773" t="str">
        <f t="shared" si="239"/>
        <v>A</v>
      </c>
      <c r="Z198" s="773" t="str">
        <f t="shared" si="240"/>
        <v>A</v>
      </c>
      <c r="AA198" s="773" t="str">
        <f t="shared" si="241"/>
        <v>A</v>
      </c>
      <c r="AB198" s="773" t="str">
        <f t="shared" si="242"/>
        <v>A</v>
      </c>
      <c r="AC198" s="773" t="str">
        <f t="shared" si="243"/>
        <v>A</v>
      </c>
      <c r="AD198" s="876"/>
      <c r="AE198" s="863"/>
      <c r="AF198" s="870"/>
      <c r="AG198" s="1019"/>
      <c r="AH198" s="802"/>
      <c r="AI198" s="803"/>
    </row>
    <row r="199" spans="1:51" hidden="1" outlineLevel="1" x14ac:dyDescent="0.3">
      <c r="A199" s="159"/>
      <c r="B199" s="1191"/>
      <c r="C199" s="735" t="str">
        <f>'Optimalizačné opatrenia'!$B$8</f>
        <v>Bezpečnosť</v>
      </c>
      <c r="D199" s="788" t="s">
        <v>542</v>
      </c>
      <c r="E199" s="773" t="s">
        <v>542</v>
      </c>
      <c r="F199" s="773" t="s">
        <v>542</v>
      </c>
      <c r="G199" s="773" t="str">
        <f t="shared" si="228"/>
        <v>A</v>
      </c>
      <c r="H199" s="773"/>
      <c r="I199" s="773"/>
      <c r="J199" s="773"/>
      <c r="K199" s="773"/>
      <c r="L199" s="773" t="str">
        <f t="shared" si="229"/>
        <v>A</v>
      </c>
      <c r="M199" s="773" t="str">
        <f t="shared" si="230"/>
        <v>A</v>
      </c>
      <c r="N199" s="773" t="s">
        <v>542</v>
      </c>
      <c r="O199" s="773"/>
      <c r="P199" s="773" t="str">
        <f t="shared" si="231"/>
        <v>A</v>
      </c>
      <c r="Q199" s="773" t="str">
        <f t="shared" si="232"/>
        <v>A</v>
      </c>
      <c r="R199" s="773" t="str">
        <f t="shared" si="233"/>
        <v>A</v>
      </c>
      <c r="S199" s="773" t="str">
        <f t="shared" si="234"/>
        <v>A</v>
      </c>
      <c r="T199" s="773" t="str">
        <f t="shared" si="235"/>
        <v>A</v>
      </c>
      <c r="U199" s="773" t="str">
        <f t="shared" si="236"/>
        <v>A</v>
      </c>
      <c r="V199" s="773" t="str">
        <f t="shared" si="237"/>
        <v>A</v>
      </c>
      <c r="W199" s="773" t="str">
        <f t="shared" si="237"/>
        <v>A</v>
      </c>
      <c r="X199" s="773" t="str">
        <f t="shared" si="238"/>
        <v>A</v>
      </c>
      <c r="Y199" s="773" t="str">
        <f t="shared" si="239"/>
        <v>A</v>
      </c>
      <c r="Z199" s="773" t="str">
        <f t="shared" si="240"/>
        <v>A</v>
      </c>
      <c r="AA199" s="773" t="str">
        <f t="shared" si="241"/>
        <v>A</v>
      </c>
      <c r="AB199" s="773" t="str">
        <f t="shared" si="242"/>
        <v>A</v>
      </c>
      <c r="AC199" s="773" t="str">
        <f t="shared" si="243"/>
        <v>A</v>
      </c>
      <c r="AD199" s="876"/>
      <c r="AE199" s="863"/>
      <c r="AF199" s="870"/>
      <c r="AG199" s="1019"/>
      <c r="AH199" s="802"/>
      <c r="AI199" s="803"/>
    </row>
    <row r="200" spans="1:51" hidden="1" outlineLevel="1" x14ac:dyDescent="0.3">
      <c r="A200" s="159"/>
      <c r="B200" s="1191"/>
      <c r="C200" s="735" t="str">
        <f>'Optimalizačné opatrenia'!$B$9</f>
        <v>Auditovateľnosť</v>
      </c>
      <c r="D200" s="788" t="s">
        <v>542</v>
      </c>
      <c r="E200" s="773" t="s">
        <v>542</v>
      </c>
      <c r="F200" s="773" t="s">
        <v>542</v>
      </c>
      <c r="G200" s="773" t="str">
        <f t="shared" si="228"/>
        <v>A</v>
      </c>
      <c r="H200" s="773"/>
      <c r="I200" s="773"/>
      <c r="J200" s="773"/>
      <c r="K200" s="773"/>
      <c r="L200" s="773" t="str">
        <f t="shared" si="229"/>
        <v>A</v>
      </c>
      <c r="M200" s="773" t="str">
        <f t="shared" si="230"/>
        <v>A</v>
      </c>
      <c r="N200" s="773" t="s">
        <v>542</v>
      </c>
      <c r="O200" s="773"/>
      <c r="P200" s="773" t="str">
        <f t="shared" si="231"/>
        <v>A</v>
      </c>
      <c r="Q200" s="773" t="str">
        <f t="shared" si="232"/>
        <v>A</v>
      </c>
      <c r="R200" s="773" t="str">
        <f t="shared" si="233"/>
        <v>N</v>
      </c>
      <c r="S200" s="773" t="str">
        <f t="shared" si="234"/>
        <v>N</v>
      </c>
      <c r="T200" s="773" t="str">
        <f t="shared" si="235"/>
        <v>N</v>
      </c>
      <c r="U200" s="773" t="str">
        <f t="shared" si="236"/>
        <v>A</v>
      </c>
      <c r="V200" s="773" t="str">
        <f t="shared" si="237"/>
        <v>A</v>
      </c>
      <c r="W200" s="773" t="str">
        <f t="shared" si="237"/>
        <v>A</v>
      </c>
      <c r="X200" s="773" t="str">
        <f t="shared" si="238"/>
        <v>A</v>
      </c>
      <c r="Y200" s="773" t="str">
        <f t="shared" si="239"/>
        <v>N</v>
      </c>
      <c r="Z200" s="773" t="str">
        <f t="shared" si="240"/>
        <v>N</v>
      </c>
      <c r="AA200" s="773" t="str">
        <f t="shared" si="241"/>
        <v>A</v>
      </c>
      <c r="AB200" s="773" t="str">
        <f t="shared" si="242"/>
        <v>A</v>
      </c>
      <c r="AC200" s="773" t="str">
        <f t="shared" si="243"/>
        <v>N</v>
      </c>
      <c r="AD200" s="876"/>
      <c r="AE200" s="863"/>
      <c r="AF200" s="870"/>
      <c r="AG200" s="1019"/>
      <c r="AH200" s="802"/>
      <c r="AI200" s="803"/>
    </row>
    <row r="201" spans="1:51" hidden="1" outlineLevel="1" x14ac:dyDescent="0.3">
      <c r="A201" s="159"/>
      <c r="B201" s="1191"/>
      <c r="C201" s="735" t="str">
        <f>'Optimalizačné opatrenia'!$B$10</f>
        <v>Transparentnosť</v>
      </c>
      <c r="D201" s="788" t="s">
        <v>542</v>
      </c>
      <c r="E201" s="773" t="s">
        <v>542</v>
      </c>
      <c r="F201" s="773" t="s">
        <v>542</v>
      </c>
      <c r="G201" s="773" t="str">
        <f t="shared" si="228"/>
        <v>N</v>
      </c>
      <c r="H201" s="773"/>
      <c r="I201" s="773"/>
      <c r="J201" s="773"/>
      <c r="K201" s="773"/>
      <c r="L201" s="773" t="str">
        <f t="shared" si="229"/>
        <v>N</v>
      </c>
      <c r="M201" s="773" t="str">
        <f t="shared" si="230"/>
        <v>N</v>
      </c>
      <c r="N201" s="773" t="s">
        <v>542</v>
      </c>
      <c r="O201" s="773"/>
      <c r="P201" s="773" t="str">
        <f t="shared" si="231"/>
        <v>A</v>
      </c>
      <c r="Q201" s="773" t="str">
        <f t="shared" si="232"/>
        <v>N</v>
      </c>
      <c r="R201" s="773" t="str">
        <f t="shared" si="233"/>
        <v>N</v>
      </c>
      <c r="S201" s="773" t="str">
        <f t="shared" si="234"/>
        <v>N</v>
      </c>
      <c r="T201" s="773" t="str">
        <f t="shared" si="235"/>
        <v>N</v>
      </c>
      <c r="U201" s="773" t="str">
        <f t="shared" si="236"/>
        <v>N</v>
      </c>
      <c r="V201" s="773" t="str">
        <f t="shared" si="237"/>
        <v>A</v>
      </c>
      <c r="W201" s="773" t="str">
        <f t="shared" si="237"/>
        <v>N</v>
      </c>
      <c r="X201" s="773" t="str">
        <f t="shared" si="238"/>
        <v>N</v>
      </c>
      <c r="Y201" s="773" t="str">
        <f t="shared" si="239"/>
        <v>N</v>
      </c>
      <c r="Z201" s="773" t="str">
        <f t="shared" si="240"/>
        <v>N</v>
      </c>
      <c r="AA201" s="773" t="str">
        <f t="shared" si="241"/>
        <v>A</v>
      </c>
      <c r="AB201" s="773" t="str">
        <f t="shared" si="242"/>
        <v>N</v>
      </c>
      <c r="AC201" s="773" t="str">
        <f t="shared" si="243"/>
        <v>N</v>
      </c>
      <c r="AD201" s="876"/>
      <c r="AE201" s="863"/>
      <c r="AF201" s="870"/>
      <c r="AG201" s="1019"/>
      <c r="AH201" s="802"/>
      <c r="AI201" s="803"/>
    </row>
    <row r="202" spans="1:51" hidden="1" outlineLevel="1" x14ac:dyDescent="0.3">
      <c r="A202" s="159"/>
      <c r="B202" s="1191"/>
      <c r="C202" s="735" t="str">
        <f>'Optimalizačné opatrenia'!$B$11</f>
        <v>Analyzovatelnosť</v>
      </c>
      <c r="D202" s="788" t="s">
        <v>542</v>
      </c>
      <c r="E202" s="773" t="s">
        <v>542</v>
      </c>
      <c r="F202" s="773" t="s">
        <v>542</v>
      </c>
      <c r="G202" s="773" t="str">
        <f t="shared" si="228"/>
        <v>A</v>
      </c>
      <c r="H202" s="773"/>
      <c r="I202" s="773"/>
      <c r="J202" s="773"/>
      <c r="K202" s="773"/>
      <c r="L202" s="773" t="str">
        <f t="shared" si="229"/>
        <v>A</v>
      </c>
      <c r="M202" s="773" t="str">
        <f t="shared" si="230"/>
        <v>A</v>
      </c>
      <c r="N202" s="773" t="s">
        <v>542</v>
      </c>
      <c r="O202" s="773"/>
      <c r="P202" s="773" t="str">
        <f t="shared" si="231"/>
        <v>A</v>
      </c>
      <c r="Q202" s="773" t="str">
        <f t="shared" si="232"/>
        <v>A</v>
      </c>
      <c r="R202" s="773" t="str">
        <f t="shared" si="233"/>
        <v>N</v>
      </c>
      <c r="S202" s="773" t="str">
        <f t="shared" si="234"/>
        <v>N</v>
      </c>
      <c r="T202" s="773" t="str">
        <f t="shared" si="235"/>
        <v>N</v>
      </c>
      <c r="U202" s="773" t="str">
        <f t="shared" si="236"/>
        <v>A</v>
      </c>
      <c r="V202" s="773" t="str">
        <f t="shared" si="237"/>
        <v>A</v>
      </c>
      <c r="W202" s="773" t="str">
        <f t="shared" si="237"/>
        <v>A</v>
      </c>
      <c r="X202" s="773" t="str">
        <f t="shared" si="238"/>
        <v>A</v>
      </c>
      <c r="Y202" s="773" t="str">
        <f t="shared" si="239"/>
        <v>N</v>
      </c>
      <c r="Z202" s="773" t="str">
        <f t="shared" si="240"/>
        <v>N</v>
      </c>
      <c r="AA202" s="773" t="str">
        <f t="shared" si="241"/>
        <v>A</v>
      </c>
      <c r="AB202" s="773" t="str">
        <f t="shared" si="242"/>
        <v>A</v>
      </c>
      <c r="AC202" s="773" t="str">
        <f t="shared" si="243"/>
        <v>N</v>
      </c>
      <c r="AD202" s="876"/>
      <c r="AE202" s="863"/>
      <c r="AF202" s="870"/>
      <c r="AG202" s="1019"/>
      <c r="AH202" s="802"/>
      <c r="AI202" s="803"/>
    </row>
    <row r="203" spans="1:51" hidden="1" outlineLevel="1" x14ac:dyDescent="0.3">
      <c r="A203" s="159"/>
      <c r="B203" s="1191"/>
      <c r="C203" s="735" t="str">
        <f>'Optimalizačné opatrenia'!$B$12</f>
        <v>Integrácia</v>
      </c>
      <c r="D203" s="788" t="s">
        <v>542</v>
      </c>
      <c r="E203" s="773" t="s">
        <v>542</v>
      </c>
      <c r="F203" s="773" t="s">
        <v>542</v>
      </c>
      <c r="G203" s="773" t="str">
        <f t="shared" si="228"/>
        <v>A</v>
      </c>
      <c r="H203" s="773"/>
      <c r="I203" s="773"/>
      <c r="J203" s="773"/>
      <c r="K203" s="773"/>
      <c r="L203" s="773" t="str">
        <f t="shared" si="229"/>
        <v>A</v>
      </c>
      <c r="M203" s="773" t="str">
        <f t="shared" si="230"/>
        <v>A</v>
      </c>
      <c r="N203" s="773" t="s">
        <v>542</v>
      </c>
      <c r="O203" s="773"/>
      <c r="P203" s="773" t="str">
        <f t="shared" si="231"/>
        <v>A</v>
      </c>
      <c r="Q203" s="773" t="str">
        <f t="shared" si="232"/>
        <v>A</v>
      </c>
      <c r="R203" s="773" t="str">
        <f t="shared" si="233"/>
        <v>A</v>
      </c>
      <c r="S203" s="773" t="str">
        <f t="shared" si="234"/>
        <v>A</v>
      </c>
      <c r="T203" s="773" t="str">
        <f t="shared" si="235"/>
        <v>A</v>
      </c>
      <c r="U203" s="773" t="str">
        <f t="shared" si="236"/>
        <v>A</v>
      </c>
      <c r="V203" s="773" t="str">
        <f t="shared" si="237"/>
        <v>A</v>
      </c>
      <c r="W203" s="773" t="str">
        <f t="shared" si="237"/>
        <v>A</v>
      </c>
      <c r="X203" s="773" t="str">
        <f t="shared" si="238"/>
        <v>A</v>
      </c>
      <c r="Y203" s="773" t="str">
        <f t="shared" si="239"/>
        <v>A</v>
      </c>
      <c r="Z203" s="773" t="str">
        <f t="shared" si="240"/>
        <v>A</v>
      </c>
      <c r="AA203" s="773" t="str">
        <f t="shared" si="241"/>
        <v>A</v>
      </c>
      <c r="AB203" s="773" t="str">
        <f t="shared" si="242"/>
        <v>A</v>
      </c>
      <c r="AC203" s="773" t="str">
        <f t="shared" si="243"/>
        <v>A</v>
      </c>
      <c r="AD203" s="876"/>
      <c r="AE203" s="863"/>
      <c r="AF203" s="870"/>
      <c r="AG203" s="1019"/>
      <c r="AH203" s="802"/>
      <c r="AI203" s="803"/>
    </row>
    <row r="204" spans="1:51" hidden="1" outlineLevel="1" x14ac:dyDescent="0.3">
      <c r="A204" s="159"/>
      <c r="B204" s="1191"/>
      <c r="C204" s="740" t="str">
        <f>'Optimalizačné opatrenia'!$B$13</f>
        <v>Proaktivita</v>
      </c>
      <c r="D204" s="788" t="s">
        <v>542</v>
      </c>
      <c r="E204" s="773" t="s">
        <v>542</v>
      </c>
      <c r="F204" s="773" t="s">
        <v>542</v>
      </c>
      <c r="G204" s="773" t="str">
        <f t="shared" si="228"/>
        <v>N</v>
      </c>
      <c r="H204" s="773"/>
      <c r="I204" s="773"/>
      <c r="J204" s="773"/>
      <c r="K204" s="773"/>
      <c r="L204" s="773" t="str">
        <f t="shared" si="229"/>
        <v>A</v>
      </c>
      <c r="M204" s="773" t="str">
        <f t="shared" si="230"/>
        <v>N</v>
      </c>
      <c r="N204" s="773" t="s">
        <v>542</v>
      </c>
      <c r="O204" s="773"/>
      <c r="P204" s="773" t="str">
        <f t="shared" si="231"/>
        <v>N</v>
      </c>
      <c r="Q204" s="773" t="str">
        <f t="shared" si="232"/>
        <v>N</v>
      </c>
      <c r="R204" s="773" t="str">
        <f t="shared" si="233"/>
        <v>A</v>
      </c>
      <c r="S204" s="773" t="str">
        <f t="shared" si="234"/>
        <v>A</v>
      </c>
      <c r="T204" s="773" t="str">
        <f t="shared" si="235"/>
        <v>A</v>
      </c>
      <c r="U204" s="773" t="str">
        <f t="shared" si="236"/>
        <v>N</v>
      </c>
      <c r="V204" s="773" t="str">
        <f t="shared" si="237"/>
        <v>A</v>
      </c>
      <c r="W204" s="773" t="str">
        <f t="shared" si="237"/>
        <v>N</v>
      </c>
      <c r="X204" s="773" t="str">
        <f t="shared" si="238"/>
        <v>N</v>
      </c>
      <c r="Y204" s="773" t="str">
        <f t="shared" si="239"/>
        <v>A</v>
      </c>
      <c r="Z204" s="773" t="str">
        <f t="shared" si="240"/>
        <v>A</v>
      </c>
      <c r="AA204" s="773" t="str">
        <f t="shared" si="241"/>
        <v>A</v>
      </c>
      <c r="AB204" s="773" t="str">
        <f t="shared" si="242"/>
        <v>N</v>
      </c>
      <c r="AC204" s="773" t="str">
        <f t="shared" si="243"/>
        <v>A</v>
      </c>
      <c r="AD204" s="876"/>
      <c r="AE204" s="863"/>
      <c r="AF204" s="870"/>
      <c r="AG204" s="1019"/>
      <c r="AH204" s="802"/>
      <c r="AI204" s="803"/>
    </row>
    <row r="205" spans="1:51" hidden="1" outlineLevel="1" x14ac:dyDescent="0.3">
      <c r="A205" s="159"/>
      <c r="B205" s="790"/>
      <c r="C205" s="792" t="s">
        <v>550</v>
      </c>
      <c r="D205" s="793">
        <v>0</v>
      </c>
      <c r="E205" s="791">
        <v>0</v>
      </c>
      <c r="F205" s="794">
        <v>0</v>
      </c>
      <c r="G205" s="794">
        <f t="shared" si="228"/>
        <v>0.3</v>
      </c>
      <c r="H205" s="794"/>
      <c r="I205" s="794"/>
      <c r="J205" s="794"/>
      <c r="K205" s="794"/>
      <c r="L205" s="794">
        <f t="shared" si="229"/>
        <v>0.4</v>
      </c>
      <c r="M205" s="794">
        <f t="shared" si="230"/>
        <v>0.3</v>
      </c>
      <c r="N205" s="794">
        <v>0</v>
      </c>
      <c r="O205" s="794"/>
      <c r="P205" s="794">
        <f t="shared" si="231"/>
        <v>0.45</v>
      </c>
      <c r="Q205" s="794">
        <f t="shared" si="232"/>
        <v>0.3</v>
      </c>
      <c r="R205" s="794">
        <f t="shared" si="233"/>
        <v>0.25</v>
      </c>
      <c r="S205" s="794">
        <f t="shared" si="234"/>
        <v>0.25</v>
      </c>
      <c r="T205" s="794">
        <f t="shared" si="235"/>
        <v>0.25</v>
      </c>
      <c r="U205" s="794">
        <f t="shared" si="236"/>
        <v>0.3</v>
      </c>
      <c r="V205" s="794">
        <f t="shared" si="237"/>
        <v>0.5</v>
      </c>
      <c r="W205" s="794">
        <f t="shared" si="237"/>
        <v>0.3</v>
      </c>
      <c r="X205" s="794">
        <f t="shared" si="238"/>
        <v>0.3</v>
      </c>
      <c r="Y205" s="794">
        <f t="shared" si="239"/>
        <v>0.25</v>
      </c>
      <c r="Z205" s="794">
        <f t="shared" si="240"/>
        <v>0.25</v>
      </c>
      <c r="AA205" s="794">
        <f t="shared" si="241"/>
        <v>0.5</v>
      </c>
      <c r="AB205" s="794">
        <f t="shared" si="242"/>
        <v>0.3</v>
      </c>
      <c r="AC205" s="794">
        <f t="shared" si="243"/>
        <v>0.25</v>
      </c>
      <c r="AD205" s="877"/>
      <c r="AE205" s="864"/>
      <c r="AF205" s="871"/>
      <c r="AG205" s="1020"/>
      <c r="AH205" s="805"/>
      <c r="AI205" s="806"/>
    </row>
    <row r="206" spans="1:51" ht="58.8" customHeight="1" collapsed="1" x14ac:dyDescent="0.3">
      <c r="A206" s="159">
        <f ca="1">OFFSET(A206,-14,0)+1</f>
        <v>15</v>
      </c>
      <c r="B206" s="234" t="str">
        <f ca="1">'Procesy - AS IS'!B52</f>
        <v>Meranie č. 15</v>
      </c>
      <c r="C206" s="718" t="str">
        <f>'Procesy - AS IS'!C52</f>
        <v>CARS Prešov, s.r.o., Prešov, prevádzka Strojnícka 19, Prešov, Kontrola pôvodcov a držiteľov odpadov, 8404/2017</v>
      </c>
      <c r="D206" s="796">
        <f>-'Procesy - AS IS'!D54*D219</f>
        <v>0</v>
      </c>
      <c r="E206" s="721">
        <f>-'Procesy - AS IS'!E54*E219</f>
        <v>0</v>
      </c>
      <c r="F206" s="721">
        <f>-'Procesy - AS IS'!F54*F219</f>
        <v>0</v>
      </c>
      <c r="G206" s="721">
        <f>-'Procesy - AS IS'!G54*G219</f>
        <v>-0.89999999999999991</v>
      </c>
      <c r="H206" s="721" t="s">
        <v>568</v>
      </c>
      <c r="I206" s="721" t="s">
        <v>568</v>
      </c>
      <c r="J206" s="721" t="s">
        <v>568</v>
      </c>
      <c r="K206" s="721" t="s">
        <v>568</v>
      </c>
      <c r="L206" s="721">
        <f>-'Procesy - AS IS'!L54*L219</f>
        <v>0</v>
      </c>
      <c r="M206" s="721">
        <f>-'Procesy - AS IS'!M54*M219</f>
        <v>-0.22499999999999998</v>
      </c>
      <c r="N206" s="721">
        <f>-'Procesy - AS IS'!N54*N219</f>
        <v>0</v>
      </c>
      <c r="O206" s="721" t="s">
        <v>572</v>
      </c>
      <c r="P206" s="721">
        <f>-'Procesy - AS IS'!P54*P219</f>
        <v>-0.9</v>
      </c>
      <c r="Q206" s="721">
        <f>-'Procesy - AS IS'!Q54*Q219</f>
        <v>0</v>
      </c>
      <c r="R206" s="721">
        <f>-'Procesy - AS IS'!R54*R219</f>
        <v>-1.241851079112084</v>
      </c>
      <c r="S206" s="721">
        <f>-'Procesy - AS IS'!S54*S219</f>
        <v>-2.758148920887916</v>
      </c>
      <c r="T206" s="721">
        <f>-'Procesy - AS IS'!T54*T219</f>
        <v>-1.241851079112084</v>
      </c>
      <c r="U206" s="721">
        <f>-'Procesy - AS IS'!U54*U219</f>
        <v>-0.20686116906659369</v>
      </c>
      <c r="V206" s="721">
        <f>-'Procesy - AS IS'!V54*V219</f>
        <v>-0.25</v>
      </c>
      <c r="W206" s="721">
        <f>-'Procesy - AS IS'!W54*W219</f>
        <v>-8.5207100591715976E-2</v>
      </c>
      <c r="X206" s="721">
        <f>-'Procesy - AS IS'!X54*X219</f>
        <v>0</v>
      </c>
      <c r="Y206" s="721">
        <f>-'Procesy - AS IS'!Y54*Y219</f>
        <v>-0.75739644970414199</v>
      </c>
      <c r="Z206" s="721">
        <f>-'Procesy - AS IS'!Z54*Z219</f>
        <v>-3.6982248520710057E-3</v>
      </c>
      <c r="AA206" s="721">
        <f>-'Procesy - AS IS'!AA54*AA219</f>
        <v>-1.4792899408284023E-2</v>
      </c>
      <c r="AB206" s="721">
        <f>-'Procesy - AS IS'!AB54*AB219</f>
        <v>-0.1420118343195266</v>
      </c>
      <c r="AC206" s="721">
        <f>-'Procesy - AS IS'!AC54*AC219</f>
        <v>-0.29585798816568043</v>
      </c>
      <c r="AD206" s="824">
        <f>SUM(D206:AC206)</f>
        <v>-9.0226767452200995</v>
      </c>
      <c r="AE206" s="798">
        <f>AD206/'Procesy - AS IS'!AD54</f>
        <v>-0.27406444092421794</v>
      </c>
      <c r="AF206" s="869">
        <f>('Procesy - AS IS'!AG51/(1+$AE206)-'Procesy - AS IS'!AG51)/2</f>
        <v>31.901516558274622</v>
      </c>
      <c r="AG206" s="1018">
        <f>('Procesy - AS IS'!AH51/(1+$AE206)-'Procesy - AS IS'!AH51)/2</f>
        <v>9.9042331908013423</v>
      </c>
      <c r="AH206" s="800">
        <f>('Procesy - AS IS'!AI51/(1+$AE206)-'Procesy - AS IS'!AI51)/2</f>
        <v>6.0405238453537748</v>
      </c>
      <c r="AI206" s="801">
        <f>('Procesy - AS IS'!AJ51/(1+$AE206)-'Procesy - AS IS'!AJ51)/2</f>
        <v>0.94383185083652732</v>
      </c>
      <c r="AK206" s="232"/>
      <c r="AY206" s="227"/>
    </row>
    <row r="207" spans="1:51" hidden="1" outlineLevel="1" x14ac:dyDescent="0.3">
      <c r="A207" s="159"/>
      <c r="B207" s="1190" t="s">
        <v>540</v>
      </c>
      <c r="C207" s="735" t="str">
        <f>'Optimalizačné opatrenia'!$B$2</f>
        <v>Modernizácia</v>
      </c>
      <c r="D207" s="741" t="s">
        <v>542</v>
      </c>
      <c r="E207" s="742" t="s">
        <v>542</v>
      </c>
      <c r="F207" s="773" t="s">
        <v>542</v>
      </c>
      <c r="G207" s="773" t="str">
        <f t="shared" ref="G207:G219" si="244">G193</f>
        <v>A</v>
      </c>
      <c r="H207" s="773"/>
      <c r="I207" s="773"/>
      <c r="J207" s="773"/>
      <c r="K207" s="773"/>
      <c r="L207" s="773" t="str">
        <f t="shared" ref="L207:M219" si="245">L193</f>
        <v>A</v>
      </c>
      <c r="M207" s="773" t="str">
        <f t="shared" si="245"/>
        <v>A</v>
      </c>
      <c r="N207" s="773" t="s">
        <v>542</v>
      </c>
      <c r="O207" s="773"/>
      <c r="P207" s="773" t="str">
        <f t="shared" ref="P207:R219" si="246">P193</f>
        <v>A</v>
      </c>
      <c r="Q207" s="773" t="str">
        <f t="shared" si="246"/>
        <v>A</v>
      </c>
      <c r="R207" s="773" t="str">
        <f t="shared" si="246"/>
        <v>A</v>
      </c>
      <c r="S207" s="773" t="str">
        <f t="shared" ref="S207:S219" si="247">R207</f>
        <v>A</v>
      </c>
      <c r="T207" s="773" t="str">
        <f t="shared" ref="T207:T219" si="248">R207</f>
        <v>A</v>
      </c>
      <c r="U207" s="773" t="str">
        <f t="shared" ref="U207:U219" si="249">G207</f>
        <v>A</v>
      </c>
      <c r="V207" s="773" t="str">
        <f t="shared" ref="V207:V219" si="250">V193</f>
        <v>A</v>
      </c>
      <c r="W207" s="773" t="str">
        <f t="shared" ref="W207:W219" si="251">W7</f>
        <v>A</v>
      </c>
      <c r="X207" s="773" t="str">
        <f t="shared" ref="X207:X219" si="252">G207</f>
        <v>A</v>
      </c>
      <c r="Y207" s="773" t="str">
        <f t="shared" ref="Y207:Y219" si="253">R207</f>
        <v>A</v>
      </c>
      <c r="Z207" s="773" t="str">
        <f t="shared" ref="Z207:Z219" si="254">R207</f>
        <v>A</v>
      </c>
      <c r="AA207" s="773" t="str">
        <f t="shared" ref="AA207:AA219" si="255">$V207</f>
        <v>A</v>
      </c>
      <c r="AB207" s="773" t="str">
        <f t="shared" ref="AB207:AB219" si="256">G207</f>
        <v>A</v>
      </c>
      <c r="AC207" s="773" t="str">
        <f t="shared" ref="AC207:AC219" si="257">R207</f>
        <v>A</v>
      </c>
      <c r="AD207" s="876"/>
      <c r="AE207" s="863"/>
      <c r="AF207" s="870"/>
      <c r="AG207" s="1019"/>
      <c r="AH207" s="802"/>
      <c r="AI207" s="803"/>
    </row>
    <row r="208" spans="1:51" hidden="1" outlineLevel="1" x14ac:dyDescent="0.3">
      <c r="A208" s="159"/>
      <c r="B208" s="1191"/>
      <c r="C208" s="735" t="str">
        <f>'Optimalizačné opatrenia'!$B$3</f>
        <v>Sfunkčnenie</v>
      </c>
      <c r="D208" s="788" t="s">
        <v>542</v>
      </c>
      <c r="E208" s="773" t="s">
        <v>542</v>
      </c>
      <c r="F208" s="773" t="s">
        <v>542</v>
      </c>
      <c r="G208" s="773" t="str">
        <f t="shared" si="244"/>
        <v>N</v>
      </c>
      <c r="H208" s="773"/>
      <c r="I208" s="773"/>
      <c r="J208" s="773"/>
      <c r="K208" s="773"/>
      <c r="L208" s="773" t="str">
        <f t="shared" si="245"/>
        <v>N</v>
      </c>
      <c r="M208" s="773" t="str">
        <f t="shared" si="245"/>
        <v>N</v>
      </c>
      <c r="N208" s="773" t="s">
        <v>542</v>
      </c>
      <c r="O208" s="773"/>
      <c r="P208" s="773" t="str">
        <f t="shared" si="246"/>
        <v>N</v>
      </c>
      <c r="Q208" s="773" t="str">
        <f t="shared" si="246"/>
        <v>N</v>
      </c>
      <c r="R208" s="773" t="str">
        <f t="shared" si="246"/>
        <v>N</v>
      </c>
      <c r="S208" s="773" t="str">
        <f t="shared" si="247"/>
        <v>N</v>
      </c>
      <c r="T208" s="773" t="str">
        <f t="shared" si="248"/>
        <v>N</v>
      </c>
      <c r="U208" s="773" t="str">
        <f t="shared" si="249"/>
        <v>N</v>
      </c>
      <c r="V208" s="773" t="str">
        <f t="shared" si="250"/>
        <v>N</v>
      </c>
      <c r="W208" s="773" t="str">
        <f t="shared" si="251"/>
        <v>N</v>
      </c>
      <c r="X208" s="773" t="str">
        <f t="shared" si="252"/>
        <v>N</v>
      </c>
      <c r="Y208" s="773" t="str">
        <f t="shared" si="253"/>
        <v>N</v>
      </c>
      <c r="Z208" s="773" t="str">
        <f t="shared" si="254"/>
        <v>N</v>
      </c>
      <c r="AA208" s="773" t="str">
        <f t="shared" si="255"/>
        <v>N</v>
      </c>
      <c r="AB208" s="773" t="str">
        <f t="shared" si="256"/>
        <v>N</v>
      </c>
      <c r="AC208" s="773" t="str">
        <f t="shared" si="257"/>
        <v>N</v>
      </c>
      <c r="AD208" s="876"/>
      <c r="AE208" s="863"/>
      <c r="AF208" s="870"/>
      <c r="AG208" s="1019"/>
      <c r="AH208" s="802"/>
      <c r="AI208" s="803"/>
    </row>
    <row r="209" spans="1:51" hidden="1" outlineLevel="1" x14ac:dyDescent="0.3">
      <c r="A209" s="159"/>
      <c r="B209" s="1191"/>
      <c r="C209" s="735" t="str">
        <f>'Optimalizačné opatrenia'!$B$4</f>
        <v>Zjednotenie</v>
      </c>
      <c r="D209" s="788" t="s">
        <v>542</v>
      </c>
      <c r="E209" s="773" t="s">
        <v>542</v>
      </c>
      <c r="F209" s="773" t="s">
        <v>542</v>
      </c>
      <c r="G209" s="773" t="str">
        <f t="shared" si="244"/>
        <v>A</v>
      </c>
      <c r="H209" s="773"/>
      <c r="I209" s="773"/>
      <c r="J209" s="773"/>
      <c r="K209" s="773"/>
      <c r="L209" s="773" t="str">
        <f t="shared" si="245"/>
        <v>A</v>
      </c>
      <c r="M209" s="773" t="str">
        <f t="shared" si="245"/>
        <v>A</v>
      </c>
      <c r="N209" s="773" t="s">
        <v>542</v>
      </c>
      <c r="O209" s="773"/>
      <c r="P209" s="773" t="str">
        <f t="shared" si="246"/>
        <v>A</v>
      </c>
      <c r="Q209" s="773" t="str">
        <f t="shared" si="246"/>
        <v>A</v>
      </c>
      <c r="R209" s="773" t="str">
        <f t="shared" si="246"/>
        <v>A</v>
      </c>
      <c r="S209" s="773" t="str">
        <f t="shared" si="247"/>
        <v>A</v>
      </c>
      <c r="T209" s="773" t="str">
        <f t="shared" si="248"/>
        <v>A</v>
      </c>
      <c r="U209" s="773" t="str">
        <f t="shared" si="249"/>
        <v>A</v>
      </c>
      <c r="V209" s="773" t="str">
        <f t="shared" si="250"/>
        <v>A</v>
      </c>
      <c r="W209" s="773" t="str">
        <f t="shared" si="251"/>
        <v>A</v>
      </c>
      <c r="X209" s="773" t="str">
        <f t="shared" si="252"/>
        <v>A</v>
      </c>
      <c r="Y209" s="773" t="str">
        <f t="shared" si="253"/>
        <v>A</v>
      </c>
      <c r="Z209" s="773" t="str">
        <f t="shared" si="254"/>
        <v>A</v>
      </c>
      <c r="AA209" s="773" t="str">
        <f t="shared" si="255"/>
        <v>A</v>
      </c>
      <c r="AB209" s="773" t="str">
        <f t="shared" si="256"/>
        <v>A</v>
      </c>
      <c r="AC209" s="773" t="str">
        <f t="shared" si="257"/>
        <v>A</v>
      </c>
      <c r="AD209" s="876"/>
      <c r="AE209" s="863"/>
      <c r="AF209" s="870"/>
      <c r="AG209" s="1019"/>
      <c r="AH209" s="802"/>
      <c r="AI209" s="803"/>
    </row>
    <row r="210" spans="1:51" hidden="1" outlineLevel="1" x14ac:dyDescent="0.3">
      <c r="A210" s="159"/>
      <c r="B210" s="1191"/>
      <c r="C210" s="735" t="str">
        <f>'Optimalizačné opatrenia'!$B$5</f>
        <v>Centralizácia</v>
      </c>
      <c r="D210" s="788" t="s">
        <v>542</v>
      </c>
      <c r="E210" s="773" t="s">
        <v>542</v>
      </c>
      <c r="F210" s="773" t="s">
        <v>542</v>
      </c>
      <c r="G210" s="773" t="str">
        <f t="shared" si="244"/>
        <v>A</v>
      </c>
      <c r="H210" s="773"/>
      <c r="I210" s="773"/>
      <c r="J210" s="773"/>
      <c r="K210" s="773"/>
      <c r="L210" s="773" t="str">
        <f t="shared" si="245"/>
        <v>A</v>
      </c>
      <c r="M210" s="773" t="str">
        <f t="shared" si="245"/>
        <v>A</v>
      </c>
      <c r="N210" s="773" t="s">
        <v>542</v>
      </c>
      <c r="O210" s="773"/>
      <c r="P210" s="773" t="str">
        <f t="shared" si="246"/>
        <v>A</v>
      </c>
      <c r="Q210" s="773" t="str">
        <f t="shared" si="246"/>
        <v>A</v>
      </c>
      <c r="R210" s="773" t="str">
        <f t="shared" si="246"/>
        <v>A</v>
      </c>
      <c r="S210" s="773" t="str">
        <f t="shared" si="247"/>
        <v>A</v>
      </c>
      <c r="T210" s="773" t="str">
        <f t="shared" si="248"/>
        <v>A</v>
      </c>
      <c r="U210" s="773" t="str">
        <f t="shared" si="249"/>
        <v>A</v>
      </c>
      <c r="V210" s="773" t="str">
        <f t="shared" si="250"/>
        <v>A</v>
      </c>
      <c r="W210" s="773" t="str">
        <f t="shared" si="251"/>
        <v>A</v>
      </c>
      <c r="X210" s="773" t="str">
        <f t="shared" si="252"/>
        <v>A</v>
      </c>
      <c r="Y210" s="773" t="str">
        <f t="shared" si="253"/>
        <v>A</v>
      </c>
      <c r="Z210" s="773" t="str">
        <f t="shared" si="254"/>
        <v>A</v>
      </c>
      <c r="AA210" s="773" t="str">
        <f t="shared" si="255"/>
        <v>A</v>
      </c>
      <c r="AB210" s="773" t="str">
        <f t="shared" si="256"/>
        <v>A</v>
      </c>
      <c r="AC210" s="773" t="str">
        <f t="shared" si="257"/>
        <v>A</v>
      </c>
      <c r="AD210" s="876"/>
      <c r="AE210" s="863"/>
      <c r="AF210" s="870"/>
      <c r="AG210" s="1019"/>
      <c r="AH210" s="802"/>
      <c r="AI210" s="803"/>
    </row>
    <row r="211" spans="1:51" hidden="1" outlineLevel="1" x14ac:dyDescent="0.3">
      <c r="A211" s="159"/>
      <c r="B211" s="1191"/>
      <c r="C211" s="735" t="str">
        <f>'Optimalizačné opatrenia'!$B$6</f>
        <v>Elektronizácia</v>
      </c>
      <c r="D211" s="788" t="s">
        <v>542</v>
      </c>
      <c r="E211" s="773" t="s">
        <v>542</v>
      </c>
      <c r="F211" s="773" t="s">
        <v>542</v>
      </c>
      <c r="G211" s="773" t="str">
        <f t="shared" si="244"/>
        <v>A</v>
      </c>
      <c r="H211" s="773"/>
      <c r="I211" s="773"/>
      <c r="J211" s="773"/>
      <c r="K211" s="773"/>
      <c r="L211" s="773" t="str">
        <f t="shared" si="245"/>
        <v>A</v>
      </c>
      <c r="M211" s="773" t="str">
        <f t="shared" si="245"/>
        <v>A</v>
      </c>
      <c r="N211" s="773" t="s">
        <v>542</v>
      </c>
      <c r="O211" s="773"/>
      <c r="P211" s="773" t="str">
        <f t="shared" si="246"/>
        <v>A</v>
      </c>
      <c r="Q211" s="773" t="str">
        <f t="shared" si="246"/>
        <v>A</v>
      </c>
      <c r="R211" s="773" t="str">
        <f t="shared" si="246"/>
        <v>A</v>
      </c>
      <c r="S211" s="773" t="str">
        <f t="shared" si="247"/>
        <v>A</v>
      </c>
      <c r="T211" s="773" t="str">
        <f t="shared" si="248"/>
        <v>A</v>
      </c>
      <c r="U211" s="773" t="str">
        <f t="shared" si="249"/>
        <v>A</v>
      </c>
      <c r="V211" s="773" t="str">
        <f t="shared" si="250"/>
        <v>A</v>
      </c>
      <c r="W211" s="773" t="str">
        <f t="shared" si="251"/>
        <v>A</v>
      </c>
      <c r="X211" s="773" t="str">
        <f t="shared" si="252"/>
        <v>A</v>
      </c>
      <c r="Y211" s="773" t="str">
        <f t="shared" si="253"/>
        <v>A</v>
      </c>
      <c r="Z211" s="773" t="str">
        <f t="shared" si="254"/>
        <v>A</v>
      </c>
      <c r="AA211" s="773" t="str">
        <f t="shared" si="255"/>
        <v>A</v>
      </c>
      <c r="AB211" s="773" t="str">
        <f t="shared" si="256"/>
        <v>A</v>
      </c>
      <c r="AC211" s="773" t="str">
        <f t="shared" si="257"/>
        <v>A</v>
      </c>
      <c r="AD211" s="876"/>
      <c r="AE211" s="863"/>
      <c r="AF211" s="870"/>
      <c r="AG211" s="1019"/>
      <c r="AH211" s="802"/>
      <c r="AI211" s="803"/>
    </row>
    <row r="212" spans="1:51" hidden="1" outlineLevel="1" x14ac:dyDescent="0.3">
      <c r="A212" s="159"/>
      <c r="B212" s="1191"/>
      <c r="C212" s="735" t="str">
        <f>'Optimalizačné opatrenia'!$B$7</f>
        <v>Automatizácia</v>
      </c>
      <c r="D212" s="788" t="s">
        <v>542</v>
      </c>
      <c r="E212" s="773" t="s">
        <v>542</v>
      </c>
      <c r="F212" s="773" t="s">
        <v>542</v>
      </c>
      <c r="G212" s="773" t="str">
        <f t="shared" si="244"/>
        <v>A</v>
      </c>
      <c r="H212" s="773"/>
      <c r="I212" s="773"/>
      <c r="J212" s="773"/>
      <c r="K212" s="773"/>
      <c r="L212" s="773" t="str">
        <f t="shared" si="245"/>
        <v>A</v>
      </c>
      <c r="M212" s="773" t="str">
        <f t="shared" si="245"/>
        <v>A</v>
      </c>
      <c r="N212" s="773" t="s">
        <v>542</v>
      </c>
      <c r="O212" s="773"/>
      <c r="P212" s="773" t="str">
        <f t="shared" si="246"/>
        <v>A</v>
      </c>
      <c r="Q212" s="773" t="str">
        <f t="shared" si="246"/>
        <v>A</v>
      </c>
      <c r="R212" s="773" t="str">
        <f t="shared" si="246"/>
        <v>A</v>
      </c>
      <c r="S212" s="773" t="str">
        <f t="shared" si="247"/>
        <v>A</v>
      </c>
      <c r="T212" s="773" t="str">
        <f t="shared" si="248"/>
        <v>A</v>
      </c>
      <c r="U212" s="773" t="str">
        <f t="shared" si="249"/>
        <v>A</v>
      </c>
      <c r="V212" s="773" t="str">
        <f t="shared" si="250"/>
        <v>A</v>
      </c>
      <c r="W212" s="773" t="str">
        <f t="shared" si="251"/>
        <v>A</v>
      </c>
      <c r="X212" s="773" t="str">
        <f t="shared" si="252"/>
        <v>A</v>
      </c>
      <c r="Y212" s="773" t="str">
        <f t="shared" si="253"/>
        <v>A</v>
      </c>
      <c r="Z212" s="773" t="str">
        <f t="shared" si="254"/>
        <v>A</v>
      </c>
      <c r="AA212" s="773" t="str">
        <f t="shared" si="255"/>
        <v>A</v>
      </c>
      <c r="AB212" s="773" t="str">
        <f t="shared" si="256"/>
        <v>A</v>
      </c>
      <c r="AC212" s="773" t="str">
        <f t="shared" si="257"/>
        <v>A</v>
      </c>
      <c r="AD212" s="876"/>
      <c r="AE212" s="863"/>
      <c r="AF212" s="870"/>
      <c r="AG212" s="1019"/>
      <c r="AH212" s="802"/>
      <c r="AI212" s="803"/>
    </row>
    <row r="213" spans="1:51" hidden="1" outlineLevel="1" x14ac:dyDescent="0.3">
      <c r="A213" s="159"/>
      <c r="B213" s="1191"/>
      <c r="C213" s="735" t="str">
        <f>'Optimalizačné opatrenia'!$B$8</f>
        <v>Bezpečnosť</v>
      </c>
      <c r="D213" s="788" t="s">
        <v>542</v>
      </c>
      <c r="E213" s="773" t="s">
        <v>542</v>
      </c>
      <c r="F213" s="773" t="s">
        <v>542</v>
      </c>
      <c r="G213" s="773" t="str">
        <f t="shared" si="244"/>
        <v>A</v>
      </c>
      <c r="H213" s="773"/>
      <c r="I213" s="773"/>
      <c r="J213" s="773"/>
      <c r="K213" s="773"/>
      <c r="L213" s="773" t="str">
        <f t="shared" si="245"/>
        <v>A</v>
      </c>
      <c r="M213" s="773" t="str">
        <f t="shared" si="245"/>
        <v>A</v>
      </c>
      <c r="N213" s="773" t="s">
        <v>542</v>
      </c>
      <c r="O213" s="773"/>
      <c r="P213" s="773" t="str">
        <f t="shared" si="246"/>
        <v>A</v>
      </c>
      <c r="Q213" s="773" t="str">
        <f t="shared" si="246"/>
        <v>A</v>
      </c>
      <c r="R213" s="773" t="str">
        <f t="shared" si="246"/>
        <v>A</v>
      </c>
      <c r="S213" s="773" t="str">
        <f t="shared" si="247"/>
        <v>A</v>
      </c>
      <c r="T213" s="773" t="str">
        <f t="shared" si="248"/>
        <v>A</v>
      </c>
      <c r="U213" s="773" t="str">
        <f t="shared" si="249"/>
        <v>A</v>
      </c>
      <c r="V213" s="773" t="str">
        <f t="shared" si="250"/>
        <v>A</v>
      </c>
      <c r="W213" s="773" t="str">
        <f t="shared" si="251"/>
        <v>A</v>
      </c>
      <c r="X213" s="773" t="str">
        <f t="shared" si="252"/>
        <v>A</v>
      </c>
      <c r="Y213" s="773" t="str">
        <f t="shared" si="253"/>
        <v>A</v>
      </c>
      <c r="Z213" s="773" t="str">
        <f t="shared" si="254"/>
        <v>A</v>
      </c>
      <c r="AA213" s="773" t="str">
        <f t="shared" si="255"/>
        <v>A</v>
      </c>
      <c r="AB213" s="773" t="str">
        <f t="shared" si="256"/>
        <v>A</v>
      </c>
      <c r="AC213" s="773" t="str">
        <f t="shared" si="257"/>
        <v>A</v>
      </c>
      <c r="AD213" s="876"/>
      <c r="AE213" s="863"/>
      <c r="AF213" s="870"/>
      <c r="AG213" s="1019"/>
      <c r="AH213" s="802"/>
      <c r="AI213" s="803"/>
    </row>
    <row r="214" spans="1:51" hidden="1" outlineLevel="1" x14ac:dyDescent="0.3">
      <c r="A214" s="159"/>
      <c r="B214" s="1191"/>
      <c r="C214" s="735" t="str">
        <f>'Optimalizačné opatrenia'!$B$9</f>
        <v>Auditovateľnosť</v>
      </c>
      <c r="D214" s="788" t="s">
        <v>542</v>
      </c>
      <c r="E214" s="773" t="s">
        <v>542</v>
      </c>
      <c r="F214" s="773" t="s">
        <v>542</v>
      </c>
      <c r="G214" s="773" t="str">
        <f t="shared" si="244"/>
        <v>A</v>
      </c>
      <c r="H214" s="773"/>
      <c r="I214" s="773"/>
      <c r="J214" s="773"/>
      <c r="K214" s="773"/>
      <c r="L214" s="773" t="str">
        <f t="shared" si="245"/>
        <v>A</v>
      </c>
      <c r="M214" s="773" t="str">
        <f t="shared" si="245"/>
        <v>A</v>
      </c>
      <c r="N214" s="773" t="s">
        <v>542</v>
      </c>
      <c r="O214" s="773"/>
      <c r="P214" s="773" t="str">
        <f t="shared" si="246"/>
        <v>A</v>
      </c>
      <c r="Q214" s="773" t="str">
        <f t="shared" si="246"/>
        <v>A</v>
      </c>
      <c r="R214" s="773" t="str">
        <f t="shared" si="246"/>
        <v>N</v>
      </c>
      <c r="S214" s="773" t="str">
        <f t="shared" si="247"/>
        <v>N</v>
      </c>
      <c r="T214" s="773" t="str">
        <f t="shared" si="248"/>
        <v>N</v>
      </c>
      <c r="U214" s="773" t="str">
        <f t="shared" si="249"/>
        <v>A</v>
      </c>
      <c r="V214" s="773" t="str">
        <f t="shared" si="250"/>
        <v>A</v>
      </c>
      <c r="W214" s="773" t="str">
        <f t="shared" si="251"/>
        <v>A</v>
      </c>
      <c r="X214" s="773" t="str">
        <f t="shared" si="252"/>
        <v>A</v>
      </c>
      <c r="Y214" s="773" t="str">
        <f t="shared" si="253"/>
        <v>N</v>
      </c>
      <c r="Z214" s="773" t="str">
        <f t="shared" si="254"/>
        <v>N</v>
      </c>
      <c r="AA214" s="773" t="str">
        <f t="shared" si="255"/>
        <v>A</v>
      </c>
      <c r="AB214" s="773" t="str">
        <f t="shared" si="256"/>
        <v>A</v>
      </c>
      <c r="AC214" s="773" t="str">
        <f t="shared" si="257"/>
        <v>N</v>
      </c>
      <c r="AD214" s="876"/>
      <c r="AE214" s="863"/>
      <c r="AF214" s="870"/>
      <c r="AG214" s="1019"/>
      <c r="AH214" s="802"/>
      <c r="AI214" s="803"/>
    </row>
    <row r="215" spans="1:51" hidden="1" outlineLevel="1" x14ac:dyDescent="0.3">
      <c r="A215" s="159"/>
      <c r="B215" s="1191"/>
      <c r="C215" s="735" t="str">
        <f>'Optimalizačné opatrenia'!$B$10</f>
        <v>Transparentnosť</v>
      </c>
      <c r="D215" s="788" t="s">
        <v>542</v>
      </c>
      <c r="E215" s="773" t="s">
        <v>542</v>
      </c>
      <c r="F215" s="773" t="s">
        <v>542</v>
      </c>
      <c r="G215" s="773" t="str">
        <f t="shared" si="244"/>
        <v>N</v>
      </c>
      <c r="H215" s="773"/>
      <c r="I215" s="773"/>
      <c r="J215" s="773"/>
      <c r="K215" s="773"/>
      <c r="L215" s="773" t="str">
        <f t="shared" si="245"/>
        <v>N</v>
      </c>
      <c r="M215" s="773" t="str">
        <f t="shared" si="245"/>
        <v>N</v>
      </c>
      <c r="N215" s="773" t="s">
        <v>542</v>
      </c>
      <c r="O215" s="773"/>
      <c r="P215" s="773" t="str">
        <f t="shared" si="246"/>
        <v>A</v>
      </c>
      <c r="Q215" s="773" t="str">
        <f t="shared" si="246"/>
        <v>N</v>
      </c>
      <c r="R215" s="773" t="str">
        <f t="shared" si="246"/>
        <v>N</v>
      </c>
      <c r="S215" s="773" t="str">
        <f t="shared" si="247"/>
        <v>N</v>
      </c>
      <c r="T215" s="773" t="str">
        <f t="shared" si="248"/>
        <v>N</v>
      </c>
      <c r="U215" s="773" t="str">
        <f t="shared" si="249"/>
        <v>N</v>
      </c>
      <c r="V215" s="773" t="str">
        <f t="shared" si="250"/>
        <v>A</v>
      </c>
      <c r="W215" s="773" t="str">
        <f t="shared" si="251"/>
        <v>N</v>
      </c>
      <c r="X215" s="773" t="str">
        <f t="shared" si="252"/>
        <v>N</v>
      </c>
      <c r="Y215" s="773" t="str">
        <f t="shared" si="253"/>
        <v>N</v>
      </c>
      <c r="Z215" s="773" t="str">
        <f t="shared" si="254"/>
        <v>N</v>
      </c>
      <c r="AA215" s="773" t="str">
        <f t="shared" si="255"/>
        <v>A</v>
      </c>
      <c r="AB215" s="773" t="str">
        <f t="shared" si="256"/>
        <v>N</v>
      </c>
      <c r="AC215" s="773" t="str">
        <f t="shared" si="257"/>
        <v>N</v>
      </c>
      <c r="AD215" s="876"/>
      <c r="AE215" s="863"/>
      <c r="AF215" s="870"/>
      <c r="AG215" s="1019"/>
      <c r="AH215" s="802"/>
      <c r="AI215" s="803"/>
    </row>
    <row r="216" spans="1:51" hidden="1" outlineLevel="1" x14ac:dyDescent="0.3">
      <c r="A216" s="159"/>
      <c r="B216" s="1191"/>
      <c r="C216" s="735" t="str">
        <f>'Optimalizačné opatrenia'!$B$11</f>
        <v>Analyzovatelnosť</v>
      </c>
      <c r="D216" s="788" t="s">
        <v>542</v>
      </c>
      <c r="E216" s="773" t="s">
        <v>542</v>
      </c>
      <c r="F216" s="773" t="s">
        <v>542</v>
      </c>
      <c r="G216" s="773" t="str">
        <f t="shared" si="244"/>
        <v>A</v>
      </c>
      <c r="H216" s="773"/>
      <c r="I216" s="773"/>
      <c r="J216" s="773"/>
      <c r="K216" s="773"/>
      <c r="L216" s="773" t="str">
        <f t="shared" si="245"/>
        <v>A</v>
      </c>
      <c r="M216" s="773" t="str">
        <f t="shared" si="245"/>
        <v>A</v>
      </c>
      <c r="N216" s="773" t="s">
        <v>542</v>
      </c>
      <c r="O216" s="773"/>
      <c r="P216" s="773" t="str">
        <f t="shared" si="246"/>
        <v>A</v>
      </c>
      <c r="Q216" s="773" t="str">
        <f t="shared" si="246"/>
        <v>A</v>
      </c>
      <c r="R216" s="773" t="str">
        <f t="shared" si="246"/>
        <v>N</v>
      </c>
      <c r="S216" s="773" t="str">
        <f t="shared" si="247"/>
        <v>N</v>
      </c>
      <c r="T216" s="773" t="str">
        <f t="shared" si="248"/>
        <v>N</v>
      </c>
      <c r="U216" s="773" t="str">
        <f t="shared" si="249"/>
        <v>A</v>
      </c>
      <c r="V216" s="773" t="str">
        <f t="shared" si="250"/>
        <v>A</v>
      </c>
      <c r="W216" s="773" t="str">
        <f t="shared" si="251"/>
        <v>A</v>
      </c>
      <c r="X216" s="773" t="str">
        <f t="shared" si="252"/>
        <v>A</v>
      </c>
      <c r="Y216" s="773" t="str">
        <f t="shared" si="253"/>
        <v>N</v>
      </c>
      <c r="Z216" s="773" t="str">
        <f t="shared" si="254"/>
        <v>N</v>
      </c>
      <c r="AA216" s="773" t="str">
        <f t="shared" si="255"/>
        <v>A</v>
      </c>
      <c r="AB216" s="773" t="str">
        <f t="shared" si="256"/>
        <v>A</v>
      </c>
      <c r="AC216" s="773" t="str">
        <f t="shared" si="257"/>
        <v>N</v>
      </c>
      <c r="AD216" s="876"/>
      <c r="AE216" s="863"/>
      <c r="AF216" s="870"/>
      <c r="AG216" s="1019"/>
      <c r="AH216" s="802"/>
      <c r="AI216" s="803"/>
    </row>
    <row r="217" spans="1:51" hidden="1" outlineLevel="1" x14ac:dyDescent="0.3">
      <c r="A217" s="159"/>
      <c r="B217" s="1191"/>
      <c r="C217" s="735" t="str">
        <f>'Optimalizačné opatrenia'!$B$12</f>
        <v>Integrácia</v>
      </c>
      <c r="D217" s="788" t="s">
        <v>542</v>
      </c>
      <c r="E217" s="773" t="s">
        <v>542</v>
      </c>
      <c r="F217" s="773" t="s">
        <v>542</v>
      </c>
      <c r="G217" s="773" t="str">
        <f t="shared" si="244"/>
        <v>A</v>
      </c>
      <c r="H217" s="773"/>
      <c r="I217" s="773"/>
      <c r="J217" s="773"/>
      <c r="K217" s="773"/>
      <c r="L217" s="773" t="str">
        <f t="shared" si="245"/>
        <v>A</v>
      </c>
      <c r="M217" s="773" t="str">
        <f t="shared" si="245"/>
        <v>A</v>
      </c>
      <c r="N217" s="773" t="s">
        <v>542</v>
      </c>
      <c r="O217" s="773"/>
      <c r="P217" s="773" t="str">
        <f t="shared" si="246"/>
        <v>A</v>
      </c>
      <c r="Q217" s="773" t="str">
        <f t="shared" si="246"/>
        <v>A</v>
      </c>
      <c r="R217" s="773" t="str">
        <f t="shared" si="246"/>
        <v>A</v>
      </c>
      <c r="S217" s="773" t="str">
        <f t="shared" si="247"/>
        <v>A</v>
      </c>
      <c r="T217" s="773" t="str">
        <f t="shared" si="248"/>
        <v>A</v>
      </c>
      <c r="U217" s="773" t="str">
        <f t="shared" si="249"/>
        <v>A</v>
      </c>
      <c r="V217" s="773" t="str">
        <f t="shared" si="250"/>
        <v>A</v>
      </c>
      <c r="W217" s="773" t="str">
        <f t="shared" si="251"/>
        <v>A</v>
      </c>
      <c r="X217" s="773" t="str">
        <f t="shared" si="252"/>
        <v>A</v>
      </c>
      <c r="Y217" s="773" t="str">
        <f t="shared" si="253"/>
        <v>A</v>
      </c>
      <c r="Z217" s="773" t="str">
        <f t="shared" si="254"/>
        <v>A</v>
      </c>
      <c r="AA217" s="773" t="str">
        <f t="shared" si="255"/>
        <v>A</v>
      </c>
      <c r="AB217" s="773" t="str">
        <f t="shared" si="256"/>
        <v>A</v>
      </c>
      <c r="AC217" s="773" t="str">
        <f t="shared" si="257"/>
        <v>A</v>
      </c>
      <c r="AD217" s="876"/>
      <c r="AE217" s="863"/>
      <c r="AF217" s="870"/>
      <c r="AG217" s="1019"/>
      <c r="AH217" s="802"/>
      <c r="AI217" s="803"/>
    </row>
    <row r="218" spans="1:51" hidden="1" outlineLevel="1" x14ac:dyDescent="0.3">
      <c r="A218" s="159"/>
      <c r="B218" s="1191"/>
      <c r="C218" s="740" t="str">
        <f>'Optimalizačné opatrenia'!$B$13</f>
        <v>Proaktivita</v>
      </c>
      <c r="D218" s="788" t="s">
        <v>542</v>
      </c>
      <c r="E218" s="773" t="s">
        <v>542</v>
      </c>
      <c r="F218" s="773" t="s">
        <v>542</v>
      </c>
      <c r="G218" s="773" t="str">
        <f t="shared" si="244"/>
        <v>N</v>
      </c>
      <c r="H218" s="773"/>
      <c r="I218" s="773"/>
      <c r="J218" s="773"/>
      <c r="K218" s="773"/>
      <c r="L218" s="773" t="str">
        <f t="shared" si="245"/>
        <v>A</v>
      </c>
      <c r="M218" s="773" t="str">
        <f t="shared" si="245"/>
        <v>N</v>
      </c>
      <c r="N218" s="773" t="s">
        <v>542</v>
      </c>
      <c r="O218" s="773"/>
      <c r="P218" s="773" t="str">
        <f t="shared" si="246"/>
        <v>N</v>
      </c>
      <c r="Q218" s="773" t="str">
        <f t="shared" si="246"/>
        <v>N</v>
      </c>
      <c r="R218" s="773" t="str">
        <f t="shared" si="246"/>
        <v>A</v>
      </c>
      <c r="S218" s="773" t="str">
        <f t="shared" si="247"/>
        <v>A</v>
      </c>
      <c r="T218" s="773" t="str">
        <f t="shared" si="248"/>
        <v>A</v>
      </c>
      <c r="U218" s="773" t="str">
        <f t="shared" si="249"/>
        <v>N</v>
      </c>
      <c r="V218" s="773" t="str">
        <f t="shared" si="250"/>
        <v>A</v>
      </c>
      <c r="W218" s="773" t="str">
        <f t="shared" si="251"/>
        <v>N</v>
      </c>
      <c r="X218" s="773" t="str">
        <f t="shared" si="252"/>
        <v>N</v>
      </c>
      <c r="Y218" s="773" t="str">
        <f t="shared" si="253"/>
        <v>A</v>
      </c>
      <c r="Z218" s="773" t="str">
        <f t="shared" si="254"/>
        <v>A</v>
      </c>
      <c r="AA218" s="773" t="str">
        <f t="shared" si="255"/>
        <v>A</v>
      </c>
      <c r="AB218" s="773" t="str">
        <f t="shared" si="256"/>
        <v>N</v>
      </c>
      <c r="AC218" s="773" t="str">
        <f t="shared" si="257"/>
        <v>A</v>
      </c>
      <c r="AD218" s="876"/>
      <c r="AE218" s="863"/>
      <c r="AF218" s="870"/>
      <c r="AG218" s="1019"/>
      <c r="AH218" s="802"/>
      <c r="AI218" s="803"/>
    </row>
    <row r="219" spans="1:51" hidden="1" outlineLevel="1" x14ac:dyDescent="0.3">
      <c r="A219" s="159"/>
      <c r="B219" s="790"/>
      <c r="C219" s="792" t="s">
        <v>550</v>
      </c>
      <c r="D219" s="793">
        <v>0</v>
      </c>
      <c r="E219" s="791">
        <v>0</v>
      </c>
      <c r="F219" s="794">
        <v>0</v>
      </c>
      <c r="G219" s="794">
        <f t="shared" si="244"/>
        <v>0.3</v>
      </c>
      <c r="H219" s="794"/>
      <c r="I219" s="794"/>
      <c r="J219" s="794"/>
      <c r="K219" s="794"/>
      <c r="L219" s="794">
        <f t="shared" si="245"/>
        <v>0.4</v>
      </c>
      <c r="M219" s="794">
        <f t="shared" si="245"/>
        <v>0.3</v>
      </c>
      <c r="N219" s="794">
        <v>0</v>
      </c>
      <c r="O219" s="794"/>
      <c r="P219" s="794">
        <f t="shared" si="246"/>
        <v>0.45</v>
      </c>
      <c r="Q219" s="794">
        <f t="shared" si="246"/>
        <v>0.3</v>
      </c>
      <c r="R219" s="794">
        <f t="shared" si="246"/>
        <v>0.25</v>
      </c>
      <c r="S219" s="794">
        <f t="shared" si="247"/>
        <v>0.25</v>
      </c>
      <c r="T219" s="794">
        <f t="shared" si="248"/>
        <v>0.25</v>
      </c>
      <c r="U219" s="794">
        <f t="shared" si="249"/>
        <v>0.3</v>
      </c>
      <c r="V219" s="794">
        <f t="shared" si="250"/>
        <v>0.5</v>
      </c>
      <c r="W219" s="794">
        <f t="shared" si="251"/>
        <v>0.3</v>
      </c>
      <c r="X219" s="794">
        <f t="shared" si="252"/>
        <v>0.3</v>
      </c>
      <c r="Y219" s="794">
        <f t="shared" si="253"/>
        <v>0.25</v>
      </c>
      <c r="Z219" s="794">
        <f t="shared" si="254"/>
        <v>0.25</v>
      </c>
      <c r="AA219" s="794">
        <f t="shared" si="255"/>
        <v>0.5</v>
      </c>
      <c r="AB219" s="794">
        <f t="shared" si="256"/>
        <v>0.3</v>
      </c>
      <c r="AC219" s="794">
        <f t="shared" si="257"/>
        <v>0.25</v>
      </c>
      <c r="AD219" s="877"/>
      <c r="AE219" s="864"/>
      <c r="AF219" s="871"/>
      <c r="AG219" s="1020"/>
      <c r="AH219" s="805"/>
      <c r="AI219" s="806"/>
    </row>
    <row r="220" spans="1:51" ht="57.6" collapsed="1" x14ac:dyDescent="0.3">
      <c r="A220" s="159">
        <f ca="1">OFFSET(A220,-14,0)+1</f>
        <v>16</v>
      </c>
      <c r="B220" s="234" t="str">
        <f ca="1">'Procesy - AS IS'!B55</f>
        <v>Meranie č. 16</v>
      </c>
      <c r="C220" s="718" t="str">
        <f>'Procesy - AS IS'!C55</f>
        <v>Alfafin Plus, s.r.o., prevádzka Lehnice, Kontrola prevádzkovateľov zariadení na zber odpadov, 5566/2018
8159/2018</v>
      </c>
      <c r="D220" s="796">
        <f>-'Procesy - AS IS'!D57*D233</f>
        <v>0</v>
      </c>
      <c r="E220" s="721">
        <f>-'Procesy - AS IS'!E57*E233</f>
        <v>0</v>
      </c>
      <c r="F220" s="721">
        <f>-'Procesy - AS IS'!F57*F233</f>
        <v>0</v>
      </c>
      <c r="G220" s="721">
        <f>-'Procesy - AS IS'!G57*G233</f>
        <v>-0.89999999999999991</v>
      </c>
      <c r="H220" s="721" t="s">
        <v>568</v>
      </c>
      <c r="I220" s="721" t="s">
        <v>568</v>
      </c>
      <c r="J220" s="721" t="s">
        <v>568</v>
      </c>
      <c r="K220" s="721" t="s">
        <v>568</v>
      </c>
      <c r="L220" s="721">
        <f>-'Procesy - AS IS'!L57*L233</f>
        <v>0</v>
      </c>
      <c r="M220" s="721">
        <f>-'Procesy - AS IS'!M57*M233</f>
        <v>0</v>
      </c>
      <c r="N220" s="721">
        <f>-'Procesy - AS IS'!N57*N233</f>
        <v>0</v>
      </c>
      <c r="O220" s="721" t="s">
        <v>572</v>
      </c>
      <c r="P220" s="721">
        <f>-'Procesy - AS IS'!P57*P233</f>
        <v>-0.9</v>
      </c>
      <c r="Q220" s="721">
        <f>-'Procesy - AS IS'!Q57*Q233</f>
        <v>0</v>
      </c>
      <c r="R220" s="721">
        <f>-'Procesy - AS IS'!R57*R233</f>
        <v>-1.5547848426461144</v>
      </c>
      <c r="S220" s="721">
        <f>-'Procesy - AS IS'!S57*S233</f>
        <v>-2.4452151573538856</v>
      </c>
      <c r="T220" s="721">
        <f>-'Procesy - AS IS'!T57*T233</f>
        <v>-1.5547848426461144</v>
      </c>
      <c r="U220" s="721">
        <f>-'Procesy - AS IS'!U57*U233</f>
        <v>-0.18339113680154143</v>
      </c>
      <c r="V220" s="721">
        <f>-'Procesy - AS IS'!V57*V233</f>
        <v>-0.25</v>
      </c>
      <c r="W220" s="721">
        <f>-'Procesy - AS IS'!W57*W233</f>
        <v>-0.10999999999999999</v>
      </c>
      <c r="X220" s="721">
        <f>-'Procesy - AS IS'!X57*X233</f>
        <v>0</v>
      </c>
      <c r="Y220" s="721">
        <f>-'Procesy - AS IS'!Y57*Y233</f>
        <v>-0.97777777777777775</v>
      </c>
      <c r="Z220" s="721">
        <f>-'Procesy - AS IS'!Z57*Z233</f>
        <v>-5.5555555555555558E-3</v>
      </c>
      <c r="AA220" s="721">
        <f>-'Procesy - AS IS'!AA57*AA233</f>
        <v>-5.5555555555555558E-3</v>
      </c>
      <c r="AB220" s="721">
        <f>-'Procesy - AS IS'!AB57*AB233</f>
        <v>-8.8888888888888892E-2</v>
      </c>
      <c r="AC220" s="721">
        <f>-'Procesy - AS IS'!AC57*AC233</f>
        <v>-0.22222222222222224</v>
      </c>
      <c r="AD220" s="824">
        <f>SUM(D220:AC220)</f>
        <v>-9.1981759794476563</v>
      </c>
      <c r="AE220" s="798">
        <f>AD220/'Procesy - AS IS'!AD57</f>
        <v>-0.27144473611887682</v>
      </c>
      <c r="AF220" s="869">
        <f>'Procesy - AS IS'!AG57/(1+$AE220)-'Procesy - AS IS'!AG57</f>
        <v>16.766076275776591</v>
      </c>
      <c r="AG220" s="1018">
        <f>'Procesy - AS IS'!AH57/(1+$AE220)-'Procesy - AS IS'!AH57</f>
        <v>6.5169103160565136</v>
      </c>
      <c r="AH220" s="800">
        <f>'Procesy - AS IS'!AI57/(1+$AE220)-'Procesy - AS IS'!AI57</f>
        <v>4.0983742007453881</v>
      </c>
      <c r="AI220" s="801">
        <f>'Procesy - AS IS'!AJ57/(1+$AE220)-'Procesy - AS IS'!AJ57</f>
        <v>0.37257947279503534</v>
      </c>
      <c r="AK220" s="232"/>
      <c r="AY220" s="227"/>
    </row>
    <row r="221" spans="1:51" hidden="1" outlineLevel="1" x14ac:dyDescent="0.3">
      <c r="A221" s="159"/>
      <c r="B221" s="1190" t="s">
        <v>540</v>
      </c>
      <c r="C221" s="735" t="str">
        <f>'Optimalizačné opatrenia'!$B$2</f>
        <v>Modernizácia</v>
      </c>
      <c r="D221" s="773" t="s">
        <v>542</v>
      </c>
      <c r="E221" s="742" t="s">
        <v>542</v>
      </c>
      <c r="F221" s="773" t="s">
        <v>542</v>
      </c>
      <c r="G221" s="773" t="str">
        <f t="shared" ref="G221:G261" si="258">G207</f>
        <v>A</v>
      </c>
      <c r="H221" s="773"/>
      <c r="I221" s="773"/>
      <c r="J221" s="773"/>
      <c r="K221" s="773"/>
      <c r="L221" s="773" t="str">
        <f t="shared" ref="L221:M233" si="259">L207</f>
        <v>A</v>
      </c>
      <c r="M221" s="773" t="str">
        <f t="shared" si="259"/>
        <v>A</v>
      </c>
      <c r="N221" s="773" t="str">
        <f t="shared" ref="N221:N233" si="260">G221</f>
        <v>A</v>
      </c>
      <c r="O221" s="773"/>
      <c r="P221" s="773" t="str">
        <f t="shared" ref="P221:Q233" si="261">P193</f>
        <v>A</v>
      </c>
      <c r="Q221" s="773" t="str">
        <f t="shared" si="261"/>
        <v>A</v>
      </c>
      <c r="R221" s="773" t="str">
        <f t="shared" ref="R221:R261" si="262">R207</f>
        <v>A</v>
      </c>
      <c r="S221" s="773" t="str">
        <f t="shared" ref="S221:S233" si="263">R221</f>
        <v>A</v>
      </c>
      <c r="T221" s="773" t="str">
        <f t="shared" ref="T221:T233" si="264">R193</f>
        <v>A</v>
      </c>
      <c r="U221" s="773" t="str">
        <f t="shared" ref="U221:U261" si="265">$G221</f>
        <v>A</v>
      </c>
      <c r="V221" s="773" t="str">
        <f t="shared" ref="V221:V261" si="266">V193</f>
        <v>A</v>
      </c>
      <c r="W221" s="773" t="str">
        <f t="shared" ref="W221:W233" si="267">W7</f>
        <v>A</v>
      </c>
      <c r="X221" s="773" t="str">
        <f t="shared" ref="X221:X261" si="268">$G221</f>
        <v>A</v>
      </c>
      <c r="Y221" s="773" t="str">
        <f t="shared" ref="Y221:Y261" si="269">$R221</f>
        <v>A</v>
      </c>
      <c r="Z221" s="773" t="str">
        <f t="shared" ref="Z221:Z233" si="270">R193</f>
        <v>A</v>
      </c>
      <c r="AA221" s="773" t="str">
        <f t="shared" ref="AA221:AA261" si="271">$V221</f>
        <v>A</v>
      </c>
      <c r="AB221" s="773" t="str">
        <f t="shared" ref="AB221:AC236" si="272">$R221</f>
        <v>A</v>
      </c>
      <c r="AC221" s="773" t="str">
        <f t="shared" si="272"/>
        <v>A</v>
      </c>
      <c r="AD221" s="876"/>
      <c r="AE221" s="863"/>
      <c r="AF221" s="870"/>
      <c r="AG221" s="1019"/>
      <c r="AH221" s="802"/>
      <c r="AI221" s="803"/>
    </row>
    <row r="222" spans="1:51" hidden="1" outlineLevel="1" x14ac:dyDescent="0.3">
      <c r="A222" s="159"/>
      <c r="B222" s="1191"/>
      <c r="C222" s="735" t="str">
        <f>'Optimalizačné opatrenia'!$B$3</f>
        <v>Sfunkčnenie</v>
      </c>
      <c r="D222" s="788" t="s">
        <v>542</v>
      </c>
      <c r="E222" s="773" t="s">
        <v>542</v>
      </c>
      <c r="F222" s="773" t="s">
        <v>542</v>
      </c>
      <c r="G222" s="773" t="str">
        <f t="shared" si="258"/>
        <v>N</v>
      </c>
      <c r="H222" s="773"/>
      <c r="I222" s="773"/>
      <c r="J222" s="773"/>
      <c r="K222" s="773"/>
      <c r="L222" s="773" t="str">
        <f t="shared" si="259"/>
        <v>N</v>
      </c>
      <c r="M222" s="773" t="str">
        <f t="shared" si="259"/>
        <v>N</v>
      </c>
      <c r="N222" s="773" t="str">
        <f t="shared" si="260"/>
        <v>N</v>
      </c>
      <c r="O222" s="773"/>
      <c r="P222" s="773" t="str">
        <f t="shared" si="261"/>
        <v>N</v>
      </c>
      <c r="Q222" s="773" t="str">
        <f t="shared" si="261"/>
        <v>N</v>
      </c>
      <c r="R222" s="773" t="str">
        <f t="shared" si="262"/>
        <v>N</v>
      </c>
      <c r="S222" s="773" t="str">
        <f t="shared" si="263"/>
        <v>N</v>
      </c>
      <c r="T222" s="773" t="str">
        <f t="shared" si="264"/>
        <v>N</v>
      </c>
      <c r="U222" s="773" t="str">
        <f t="shared" si="265"/>
        <v>N</v>
      </c>
      <c r="V222" s="773" t="str">
        <f t="shared" si="266"/>
        <v>N</v>
      </c>
      <c r="W222" s="773" t="str">
        <f t="shared" si="267"/>
        <v>N</v>
      </c>
      <c r="X222" s="773" t="str">
        <f t="shared" si="268"/>
        <v>N</v>
      </c>
      <c r="Y222" s="773" t="str">
        <f t="shared" si="269"/>
        <v>N</v>
      </c>
      <c r="Z222" s="773" t="str">
        <f t="shared" si="270"/>
        <v>N</v>
      </c>
      <c r="AA222" s="773" t="str">
        <f t="shared" si="271"/>
        <v>N</v>
      </c>
      <c r="AB222" s="773" t="str">
        <f t="shared" si="272"/>
        <v>N</v>
      </c>
      <c r="AC222" s="773" t="str">
        <f t="shared" si="272"/>
        <v>N</v>
      </c>
      <c r="AD222" s="876"/>
      <c r="AE222" s="863"/>
      <c r="AF222" s="870"/>
      <c r="AG222" s="1019"/>
      <c r="AH222" s="802"/>
      <c r="AI222" s="803"/>
    </row>
    <row r="223" spans="1:51" hidden="1" outlineLevel="1" x14ac:dyDescent="0.3">
      <c r="A223" s="159"/>
      <c r="B223" s="1191"/>
      <c r="C223" s="735" t="str">
        <f>'Optimalizačné opatrenia'!$B$4</f>
        <v>Zjednotenie</v>
      </c>
      <c r="D223" s="788" t="s">
        <v>542</v>
      </c>
      <c r="E223" s="773" t="s">
        <v>542</v>
      </c>
      <c r="F223" s="773" t="s">
        <v>542</v>
      </c>
      <c r="G223" s="773" t="str">
        <f t="shared" si="258"/>
        <v>A</v>
      </c>
      <c r="H223" s="773"/>
      <c r="I223" s="773"/>
      <c r="J223" s="773"/>
      <c r="K223" s="773"/>
      <c r="L223" s="773" t="str">
        <f t="shared" si="259"/>
        <v>A</v>
      </c>
      <c r="M223" s="773" t="str">
        <f t="shared" si="259"/>
        <v>A</v>
      </c>
      <c r="N223" s="773" t="str">
        <f t="shared" si="260"/>
        <v>A</v>
      </c>
      <c r="O223" s="773"/>
      <c r="P223" s="773" t="str">
        <f t="shared" si="261"/>
        <v>A</v>
      </c>
      <c r="Q223" s="773" t="str">
        <f t="shared" si="261"/>
        <v>A</v>
      </c>
      <c r="R223" s="773" t="str">
        <f t="shared" si="262"/>
        <v>A</v>
      </c>
      <c r="S223" s="773" t="str">
        <f t="shared" si="263"/>
        <v>A</v>
      </c>
      <c r="T223" s="773" t="str">
        <f t="shared" si="264"/>
        <v>A</v>
      </c>
      <c r="U223" s="773" t="str">
        <f t="shared" si="265"/>
        <v>A</v>
      </c>
      <c r="V223" s="773" t="str">
        <f t="shared" si="266"/>
        <v>A</v>
      </c>
      <c r="W223" s="773" t="str">
        <f t="shared" si="267"/>
        <v>A</v>
      </c>
      <c r="X223" s="773" t="str">
        <f t="shared" si="268"/>
        <v>A</v>
      </c>
      <c r="Y223" s="773" t="str">
        <f t="shared" si="269"/>
        <v>A</v>
      </c>
      <c r="Z223" s="773" t="str">
        <f t="shared" si="270"/>
        <v>A</v>
      </c>
      <c r="AA223" s="773" t="str">
        <f t="shared" si="271"/>
        <v>A</v>
      </c>
      <c r="AB223" s="773" t="str">
        <f t="shared" si="272"/>
        <v>A</v>
      </c>
      <c r="AC223" s="773" t="str">
        <f t="shared" si="272"/>
        <v>A</v>
      </c>
      <c r="AD223" s="876"/>
      <c r="AE223" s="863"/>
      <c r="AF223" s="870"/>
      <c r="AG223" s="1019"/>
      <c r="AH223" s="802"/>
      <c r="AI223" s="803"/>
    </row>
    <row r="224" spans="1:51" hidden="1" outlineLevel="1" x14ac:dyDescent="0.3">
      <c r="A224" s="159"/>
      <c r="B224" s="1191"/>
      <c r="C224" s="735" t="str">
        <f>'Optimalizačné opatrenia'!$B$5</f>
        <v>Centralizácia</v>
      </c>
      <c r="D224" s="788" t="s">
        <v>542</v>
      </c>
      <c r="E224" s="773" t="s">
        <v>542</v>
      </c>
      <c r="F224" s="773" t="s">
        <v>542</v>
      </c>
      <c r="G224" s="773" t="str">
        <f t="shared" si="258"/>
        <v>A</v>
      </c>
      <c r="H224" s="773"/>
      <c r="I224" s="773"/>
      <c r="J224" s="773"/>
      <c r="K224" s="773"/>
      <c r="L224" s="773" t="str">
        <f t="shared" si="259"/>
        <v>A</v>
      </c>
      <c r="M224" s="773" t="str">
        <f t="shared" si="259"/>
        <v>A</v>
      </c>
      <c r="N224" s="773" t="str">
        <f t="shared" si="260"/>
        <v>A</v>
      </c>
      <c r="O224" s="773"/>
      <c r="P224" s="773" t="str">
        <f t="shared" si="261"/>
        <v>A</v>
      </c>
      <c r="Q224" s="773" t="str">
        <f t="shared" si="261"/>
        <v>A</v>
      </c>
      <c r="R224" s="773" t="str">
        <f t="shared" si="262"/>
        <v>A</v>
      </c>
      <c r="S224" s="773" t="str">
        <f t="shared" si="263"/>
        <v>A</v>
      </c>
      <c r="T224" s="773" t="str">
        <f t="shared" si="264"/>
        <v>A</v>
      </c>
      <c r="U224" s="773" t="str">
        <f t="shared" si="265"/>
        <v>A</v>
      </c>
      <c r="V224" s="773" t="str">
        <f t="shared" si="266"/>
        <v>A</v>
      </c>
      <c r="W224" s="773" t="str">
        <f t="shared" si="267"/>
        <v>A</v>
      </c>
      <c r="X224" s="773" t="str">
        <f t="shared" si="268"/>
        <v>A</v>
      </c>
      <c r="Y224" s="773" t="str">
        <f t="shared" si="269"/>
        <v>A</v>
      </c>
      <c r="Z224" s="773" t="str">
        <f t="shared" si="270"/>
        <v>A</v>
      </c>
      <c r="AA224" s="773" t="str">
        <f t="shared" si="271"/>
        <v>A</v>
      </c>
      <c r="AB224" s="773" t="str">
        <f t="shared" si="272"/>
        <v>A</v>
      </c>
      <c r="AC224" s="773" t="str">
        <f t="shared" si="272"/>
        <v>A</v>
      </c>
      <c r="AD224" s="876"/>
      <c r="AE224" s="863"/>
      <c r="AF224" s="870"/>
      <c r="AG224" s="1019"/>
      <c r="AH224" s="802"/>
      <c r="AI224" s="803"/>
    </row>
    <row r="225" spans="1:51" hidden="1" outlineLevel="1" x14ac:dyDescent="0.3">
      <c r="A225" s="159"/>
      <c r="B225" s="1191"/>
      <c r="C225" s="735" t="str">
        <f>'Optimalizačné opatrenia'!$B$6</f>
        <v>Elektronizácia</v>
      </c>
      <c r="D225" s="788" t="s">
        <v>542</v>
      </c>
      <c r="E225" s="773" t="s">
        <v>542</v>
      </c>
      <c r="F225" s="773" t="s">
        <v>542</v>
      </c>
      <c r="G225" s="773" t="str">
        <f t="shared" si="258"/>
        <v>A</v>
      </c>
      <c r="H225" s="773"/>
      <c r="I225" s="773"/>
      <c r="J225" s="773"/>
      <c r="K225" s="773"/>
      <c r="L225" s="773" t="str">
        <f t="shared" si="259"/>
        <v>A</v>
      </c>
      <c r="M225" s="773" t="str">
        <f t="shared" si="259"/>
        <v>A</v>
      </c>
      <c r="N225" s="773" t="str">
        <f t="shared" si="260"/>
        <v>A</v>
      </c>
      <c r="O225" s="773"/>
      <c r="P225" s="773" t="str">
        <f t="shared" si="261"/>
        <v>A</v>
      </c>
      <c r="Q225" s="773" t="str">
        <f t="shared" si="261"/>
        <v>A</v>
      </c>
      <c r="R225" s="773" t="str">
        <f t="shared" si="262"/>
        <v>A</v>
      </c>
      <c r="S225" s="773" t="str">
        <f t="shared" si="263"/>
        <v>A</v>
      </c>
      <c r="T225" s="773" t="str">
        <f t="shared" si="264"/>
        <v>A</v>
      </c>
      <c r="U225" s="773" t="str">
        <f t="shared" si="265"/>
        <v>A</v>
      </c>
      <c r="V225" s="773" t="str">
        <f t="shared" si="266"/>
        <v>A</v>
      </c>
      <c r="W225" s="773" t="str">
        <f t="shared" si="267"/>
        <v>A</v>
      </c>
      <c r="X225" s="773" t="str">
        <f t="shared" si="268"/>
        <v>A</v>
      </c>
      <c r="Y225" s="773" t="str">
        <f t="shared" si="269"/>
        <v>A</v>
      </c>
      <c r="Z225" s="773" t="str">
        <f t="shared" si="270"/>
        <v>A</v>
      </c>
      <c r="AA225" s="773" t="str">
        <f t="shared" si="271"/>
        <v>A</v>
      </c>
      <c r="AB225" s="773" t="str">
        <f t="shared" si="272"/>
        <v>A</v>
      </c>
      <c r="AC225" s="773" t="str">
        <f t="shared" si="272"/>
        <v>A</v>
      </c>
      <c r="AD225" s="876"/>
      <c r="AE225" s="863"/>
      <c r="AF225" s="870"/>
      <c r="AG225" s="1019"/>
      <c r="AH225" s="802"/>
      <c r="AI225" s="803"/>
    </row>
    <row r="226" spans="1:51" hidden="1" outlineLevel="1" x14ac:dyDescent="0.3">
      <c r="A226" s="159"/>
      <c r="B226" s="1191"/>
      <c r="C226" s="735" t="str">
        <f>'Optimalizačné opatrenia'!$B$7</f>
        <v>Automatizácia</v>
      </c>
      <c r="D226" s="788" t="s">
        <v>542</v>
      </c>
      <c r="E226" s="773" t="s">
        <v>542</v>
      </c>
      <c r="F226" s="773" t="s">
        <v>542</v>
      </c>
      <c r="G226" s="773" t="str">
        <f t="shared" si="258"/>
        <v>A</v>
      </c>
      <c r="H226" s="773"/>
      <c r="I226" s="773"/>
      <c r="J226" s="773"/>
      <c r="K226" s="773"/>
      <c r="L226" s="773" t="str">
        <f t="shared" si="259"/>
        <v>A</v>
      </c>
      <c r="M226" s="773" t="str">
        <f t="shared" si="259"/>
        <v>A</v>
      </c>
      <c r="N226" s="773" t="str">
        <f t="shared" si="260"/>
        <v>A</v>
      </c>
      <c r="O226" s="773"/>
      <c r="P226" s="773" t="str">
        <f t="shared" si="261"/>
        <v>A</v>
      </c>
      <c r="Q226" s="773" t="str">
        <f t="shared" si="261"/>
        <v>A</v>
      </c>
      <c r="R226" s="773" t="str">
        <f t="shared" si="262"/>
        <v>A</v>
      </c>
      <c r="S226" s="773" t="str">
        <f t="shared" si="263"/>
        <v>A</v>
      </c>
      <c r="T226" s="773" t="str">
        <f t="shared" si="264"/>
        <v>A</v>
      </c>
      <c r="U226" s="773" t="str">
        <f t="shared" si="265"/>
        <v>A</v>
      </c>
      <c r="V226" s="773" t="str">
        <f t="shared" si="266"/>
        <v>A</v>
      </c>
      <c r="W226" s="773" t="str">
        <f t="shared" si="267"/>
        <v>A</v>
      </c>
      <c r="X226" s="773" t="str">
        <f t="shared" si="268"/>
        <v>A</v>
      </c>
      <c r="Y226" s="773" t="str">
        <f t="shared" si="269"/>
        <v>A</v>
      </c>
      <c r="Z226" s="773" t="str">
        <f t="shared" si="270"/>
        <v>A</v>
      </c>
      <c r="AA226" s="773" t="str">
        <f t="shared" si="271"/>
        <v>A</v>
      </c>
      <c r="AB226" s="773" t="str">
        <f t="shared" si="272"/>
        <v>A</v>
      </c>
      <c r="AC226" s="773" t="str">
        <f t="shared" si="272"/>
        <v>A</v>
      </c>
      <c r="AD226" s="876"/>
      <c r="AE226" s="863"/>
      <c r="AF226" s="870"/>
      <c r="AG226" s="1019"/>
      <c r="AH226" s="802"/>
      <c r="AI226" s="803"/>
    </row>
    <row r="227" spans="1:51" hidden="1" outlineLevel="1" x14ac:dyDescent="0.3">
      <c r="A227" s="159"/>
      <c r="B227" s="1191"/>
      <c r="C227" s="735" t="str">
        <f>'Optimalizačné opatrenia'!$B$8</f>
        <v>Bezpečnosť</v>
      </c>
      <c r="D227" s="788" t="s">
        <v>542</v>
      </c>
      <c r="E227" s="773" t="s">
        <v>542</v>
      </c>
      <c r="F227" s="773" t="s">
        <v>542</v>
      </c>
      <c r="G227" s="773" t="str">
        <f t="shared" si="258"/>
        <v>A</v>
      </c>
      <c r="H227" s="773"/>
      <c r="I227" s="773"/>
      <c r="J227" s="773"/>
      <c r="K227" s="773"/>
      <c r="L227" s="773" t="str">
        <f t="shared" si="259"/>
        <v>A</v>
      </c>
      <c r="M227" s="773" t="str">
        <f t="shared" si="259"/>
        <v>A</v>
      </c>
      <c r="N227" s="773" t="str">
        <f t="shared" si="260"/>
        <v>A</v>
      </c>
      <c r="O227" s="773"/>
      <c r="P227" s="773" t="str">
        <f t="shared" si="261"/>
        <v>A</v>
      </c>
      <c r="Q227" s="773" t="str">
        <f t="shared" si="261"/>
        <v>A</v>
      </c>
      <c r="R227" s="773" t="str">
        <f t="shared" si="262"/>
        <v>A</v>
      </c>
      <c r="S227" s="773" t="str">
        <f t="shared" si="263"/>
        <v>A</v>
      </c>
      <c r="T227" s="773" t="str">
        <f t="shared" si="264"/>
        <v>A</v>
      </c>
      <c r="U227" s="773" t="str">
        <f t="shared" si="265"/>
        <v>A</v>
      </c>
      <c r="V227" s="773" t="str">
        <f t="shared" si="266"/>
        <v>A</v>
      </c>
      <c r="W227" s="773" t="str">
        <f t="shared" si="267"/>
        <v>A</v>
      </c>
      <c r="X227" s="773" t="str">
        <f t="shared" si="268"/>
        <v>A</v>
      </c>
      <c r="Y227" s="773" t="str">
        <f t="shared" si="269"/>
        <v>A</v>
      </c>
      <c r="Z227" s="773" t="str">
        <f t="shared" si="270"/>
        <v>A</v>
      </c>
      <c r="AA227" s="773" t="str">
        <f t="shared" si="271"/>
        <v>A</v>
      </c>
      <c r="AB227" s="773" t="str">
        <f t="shared" si="272"/>
        <v>A</v>
      </c>
      <c r="AC227" s="773" t="str">
        <f t="shared" si="272"/>
        <v>A</v>
      </c>
      <c r="AD227" s="876"/>
      <c r="AE227" s="863"/>
      <c r="AF227" s="870"/>
      <c r="AG227" s="1019"/>
      <c r="AH227" s="802"/>
      <c r="AI227" s="803"/>
    </row>
    <row r="228" spans="1:51" hidden="1" outlineLevel="1" x14ac:dyDescent="0.3">
      <c r="A228" s="159"/>
      <c r="B228" s="1191"/>
      <c r="C228" s="735" t="str">
        <f>'Optimalizačné opatrenia'!$B$9</f>
        <v>Auditovateľnosť</v>
      </c>
      <c r="D228" s="788" t="s">
        <v>542</v>
      </c>
      <c r="E228" s="773" t="s">
        <v>542</v>
      </c>
      <c r="F228" s="773" t="s">
        <v>542</v>
      </c>
      <c r="G228" s="773" t="str">
        <f t="shared" si="258"/>
        <v>A</v>
      </c>
      <c r="H228" s="773"/>
      <c r="I228" s="773"/>
      <c r="J228" s="773"/>
      <c r="K228" s="773"/>
      <c r="L228" s="773" t="str">
        <f t="shared" si="259"/>
        <v>A</v>
      </c>
      <c r="M228" s="773" t="str">
        <f t="shared" si="259"/>
        <v>A</v>
      </c>
      <c r="N228" s="773" t="str">
        <f t="shared" si="260"/>
        <v>A</v>
      </c>
      <c r="O228" s="773"/>
      <c r="P228" s="773" t="str">
        <f t="shared" si="261"/>
        <v>A</v>
      </c>
      <c r="Q228" s="773" t="str">
        <f t="shared" si="261"/>
        <v>A</v>
      </c>
      <c r="R228" s="773" t="str">
        <f t="shared" si="262"/>
        <v>N</v>
      </c>
      <c r="S228" s="773" t="str">
        <f t="shared" si="263"/>
        <v>N</v>
      </c>
      <c r="T228" s="773" t="str">
        <f t="shared" si="264"/>
        <v>N</v>
      </c>
      <c r="U228" s="773" t="str">
        <f t="shared" si="265"/>
        <v>A</v>
      </c>
      <c r="V228" s="773" t="str">
        <f t="shared" si="266"/>
        <v>A</v>
      </c>
      <c r="W228" s="773" t="str">
        <f t="shared" si="267"/>
        <v>A</v>
      </c>
      <c r="X228" s="773" t="str">
        <f t="shared" si="268"/>
        <v>A</v>
      </c>
      <c r="Y228" s="773" t="str">
        <f t="shared" si="269"/>
        <v>N</v>
      </c>
      <c r="Z228" s="773" t="str">
        <f t="shared" si="270"/>
        <v>N</v>
      </c>
      <c r="AA228" s="773" t="str">
        <f t="shared" si="271"/>
        <v>A</v>
      </c>
      <c r="AB228" s="773" t="str">
        <f t="shared" si="272"/>
        <v>N</v>
      </c>
      <c r="AC228" s="773" t="str">
        <f t="shared" si="272"/>
        <v>N</v>
      </c>
      <c r="AD228" s="876"/>
      <c r="AE228" s="863"/>
      <c r="AF228" s="870"/>
      <c r="AG228" s="1019"/>
      <c r="AH228" s="802"/>
      <c r="AI228" s="803"/>
    </row>
    <row r="229" spans="1:51" hidden="1" outlineLevel="1" x14ac:dyDescent="0.3">
      <c r="A229" s="159"/>
      <c r="B229" s="1191"/>
      <c r="C229" s="735" t="str">
        <f>'Optimalizačné opatrenia'!$B$10</f>
        <v>Transparentnosť</v>
      </c>
      <c r="D229" s="788" t="s">
        <v>542</v>
      </c>
      <c r="E229" s="773" t="s">
        <v>542</v>
      </c>
      <c r="F229" s="773" t="s">
        <v>542</v>
      </c>
      <c r="G229" s="773" t="str">
        <f t="shared" si="258"/>
        <v>N</v>
      </c>
      <c r="H229" s="773"/>
      <c r="I229" s="773"/>
      <c r="J229" s="773"/>
      <c r="K229" s="773"/>
      <c r="L229" s="773" t="str">
        <f t="shared" si="259"/>
        <v>N</v>
      </c>
      <c r="M229" s="773" t="str">
        <f t="shared" si="259"/>
        <v>N</v>
      </c>
      <c r="N229" s="773" t="str">
        <f t="shared" si="260"/>
        <v>N</v>
      </c>
      <c r="O229" s="773"/>
      <c r="P229" s="773" t="str">
        <f t="shared" si="261"/>
        <v>A</v>
      </c>
      <c r="Q229" s="773" t="str">
        <f t="shared" si="261"/>
        <v>N</v>
      </c>
      <c r="R229" s="773" t="str">
        <f t="shared" si="262"/>
        <v>N</v>
      </c>
      <c r="S229" s="773" t="str">
        <f t="shared" si="263"/>
        <v>N</v>
      </c>
      <c r="T229" s="773" t="str">
        <f t="shared" si="264"/>
        <v>N</v>
      </c>
      <c r="U229" s="773" t="str">
        <f t="shared" si="265"/>
        <v>N</v>
      </c>
      <c r="V229" s="773" t="str">
        <f t="shared" si="266"/>
        <v>A</v>
      </c>
      <c r="W229" s="773" t="str">
        <f t="shared" si="267"/>
        <v>N</v>
      </c>
      <c r="X229" s="773" t="str">
        <f t="shared" si="268"/>
        <v>N</v>
      </c>
      <c r="Y229" s="773" t="str">
        <f t="shared" si="269"/>
        <v>N</v>
      </c>
      <c r="Z229" s="773" t="str">
        <f t="shared" si="270"/>
        <v>N</v>
      </c>
      <c r="AA229" s="773" t="str">
        <f t="shared" si="271"/>
        <v>A</v>
      </c>
      <c r="AB229" s="773" t="str">
        <f t="shared" si="272"/>
        <v>N</v>
      </c>
      <c r="AC229" s="773" t="str">
        <f t="shared" si="272"/>
        <v>N</v>
      </c>
      <c r="AD229" s="876"/>
      <c r="AE229" s="863"/>
      <c r="AF229" s="870"/>
      <c r="AG229" s="1019"/>
      <c r="AH229" s="802"/>
      <c r="AI229" s="803"/>
    </row>
    <row r="230" spans="1:51" hidden="1" outlineLevel="1" x14ac:dyDescent="0.3">
      <c r="A230" s="159"/>
      <c r="B230" s="1191"/>
      <c r="C230" s="735" t="str">
        <f>'Optimalizačné opatrenia'!$B$11</f>
        <v>Analyzovatelnosť</v>
      </c>
      <c r="D230" s="788" t="s">
        <v>542</v>
      </c>
      <c r="E230" s="773" t="s">
        <v>542</v>
      </c>
      <c r="F230" s="773" t="s">
        <v>542</v>
      </c>
      <c r="G230" s="773" t="str">
        <f t="shared" si="258"/>
        <v>A</v>
      </c>
      <c r="H230" s="773"/>
      <c r="I230" s="773"/>
      <c r="J230" s="773"/>
      <c r="K230" s="773"/>
      <c r="L230" s="773" t="str">
        <f t="shared" si="259"/>
        <v>A</v>
      </c>
      <c r="M230" s="773" t="str">
        <f t="shared" si="259"/>
        <v>A</v>
      </c>
      <c r="N230" s="773" t="str">
        <f t="shared" si="260"/>
        <v>A</v>
      </c>
      <c r="O230" s="773"/>
      <c r="P230" s="773" t="str">
        <f t="shared" si="261"/>
        <v>A</v>
      </c>
      <c r="Q230" s="773" t="str">
        <f t="shared" si="261"/>
        <v>A</v>
      </c>
      <c r="R230" s="773" t="str">
        <f t="shared" si="262"/>
        <v>N</v>
      </c>
      <c r="S230" s="773" t="str">
        <f t="shared" si="263"/>
        <v>N</v>
      </c>
      <c r="T230" s="773" t="str">
        <f t="shared" si="264"/>
        <v>N</v>
      </c>
      <c r="U230" s="773" t="str">
        <f t="shared" si="265"/>
        <v>A</v>
      </c>
      <c r="V230" s="773" t="str">
        <f t="shared" si="266"/>
        <v>A</v>
      </c>
      <c r="W230" s="773" t="str">
        <f t="shared" si="267"/>
        <v>A</v>
      </c>
      <c r="X230" s="773" t="str">
        <f t="shared" si="268"/>
        <v>A</v>
      </c>
      <c r="Y230" s="773" t="str">
        <f t="shared" si="269"/>
        <v>N</v>
      </c>
      <c r="Z230" s="773" t="str">
        <f t="shared" si="270"/>
        <v>N</v>
      </c>
      <c r="AA230" s="773" t="str">
        <f t="shared" si="271"/>
        <v>A</v>
      </c>
      <c r="AB230" s="773" t="str">
        <f t="shared" si="272"/>
        <v>N</v>
      </c>
      <c r="AC230" s="773" t="str">
        <f t="shared" si="272"/>
        <v>N</v>
      </c>
      <c r="AD230" s="876"/>
      <c r="AE230" s="863"/>
      <c r="AF230" s="870"/>
      <c r="AG230" s="1019"/>
      <c r="AH230" s="802"/>
      <c r="AI230" s="803"/>
    </row>
    <row r="231" spans="1:51" hidden="1" outlineLevel="1" x14ac:dyDescent="0.3">
      <c r="A231" s="159"/>
      <c r="B231" s="1191"/>
      <c r="C231" s="735" t="str">
        <f>'Optimalizačné opatrenia'!$B$12</f>
        <v>Integrácia</v>
      </c>
      <c r="D231" s="788" t="s">
        <v>542</v>
      </c>
      <c r="E231" s="773" t="s">
        <v>542</v>
      </c>
      <c r="F231" s="773" t="s">
        <v>542</v>
      </c>
      <c r="G231" s="773" t="str">
        <f t="shared" si="258"/>
        <v>A</v>
      </c>
      <c r="H231" s="773"/>
      <c r="I231" s="773"/>
      <c r="J231" s="773"/>
      <c r="K231" s="773"/>
      <c r="L231" s="773" t="str">
        <f t="shared" si="259"/>
        <v>A</v>
      </c>
      <c r="M231" s="773" t="str">
        <f t="shared" si="259"/>
        <v>A</v>
      </c>
      <c r="N231" s="773" t="str">
        <f t="shared" si="260"/>
        <v>A</v>
      </c>
      <c r="O231" s="773"/>
      <c r="P231" s="773" t="str">
        <f t="shared" si="261"/>
        <v>A</v>
      </c>
      <c r="Q231" s="773" t="str">
        <f t="shared" si="261"/>
        <v>A</v>
      </c>
      <c r="R231" s="773" t="str">
        <f t="shared" si="262"/>
        <v>A</v>
      </c>
      <c r="S231" s="773" t="str">
        <f t="shared" si="263"/>
        <v>A</v>
      </c>
      <c r="T231" s="773" t="str">
        <f t="shared" si="264"/>
        <v>A</v>
      </c>
      <c r="U231" s="773" t="str">
        <f t="shared" si="265"/>
        <v>A</v>
      </c>
      <c r="V231" s="773" t="str">
        <f t="shared" si="266"/>
        <v>A</v>
      </c>
      <c r="W231" s="773" t="str">
        <f t="shared" si="267"/>
        <v>A</v>
      </c>
      <c r="X231" s="773" t="str">
        <f t="shared" si="268"/>
        <v>A</v>
      </c>
      <c r="Y231" s="773" t="str">
        <f t="shared" si="269"/>
        <v>A</v>
      </c>
      <c r="Z231" s="773" t="str">
        <f t="shared" si="270"/>
        <v>A</v>
      </c>
      <c r="AA231" s="773" t="str">
        <f t="shared" si="271"/>
        <v>A</v>
      </c>
      <c r="AB231" s="773" t="str">
        <f t="shared" si="272"/>
        <v>A</v>
      </c>
      <c r="AC231" s="773" t="str">
        <f t="shared" si="272"/>
        <v>A</v>
      </c>
      <c r="AD231" s="876"/>
      <c r="AE231" s="863"/>
      <c r="AF231" s="870"/>
      <c r="AG231" s="1019"/>
      <c r="AH231" s="802"/>
      <c r="AI231" s="803"/>
    </row>
    <row r="232" spans="1:51" hidden="1" outlineLevel="1" x14ac:dyDescent="0.3">
      <c r="A232" s="159"/>
      <c r="B232" s="1191"/>
      <c r="C232" s="740" t="str">
        <f>'Optimalizačné opatrenia'!$B$13</f>
        <v>Proaktivita</v>
      </c>
      <c r="D232" s="788" t="s">
        <v>542</v>
      </c>
      <c r="E232" s="773" t="s">
        <v>542</v>
      </c>
      <c r="F232" s="773" t="s">
        <v>542</v>
      </c>
      <c r="G232" s="773" t="str">
        <f t="shared" si="258"/>
        <v>N</v>
      </c>
      <c r="H232" s="773"/>
      <c r="I232" s="773"/>
      <c r="J232" s="773"/>
      <c r="K232" s="773"/>
      <c r="L232" s="773" t="str">
        <f t="shared" si="259"/>
        <v>A</v>
      </c>
      <c r="M232" s="773" t="str">
        <f t="shared" si="259"/>
        <v>N</v>
      </c>
      <c r="N232" s="773" t="str">
        <f t="shared" si="260"/>
        <v>N</v>
      </c>
      <c r="O232" s="773"/>
      <c r="P232" s="773" t="str">
        <f t="shared" si="261"/>
        <v>N</v>
      </c>
      <c r="Q232" s="773" t="str">
        <f t="shared" si="261"/>
        <v>N</v>
      </c>
      <c r="R232" s="773" t="str">
        <f t="shared" si="262"/>
        <v>A</v>
      </c>
      <c r="S232" s="773" t="str">
        <f t="shared" si="263"/>
        <v>A</v>
      </c>
      <c r="T232" s="773" t="str">
        <f t="shared" si="264"/>
        <v>A</v>
      </c>
      <c r="U232" s="773" t="str">
        <f t="shared" si="265"/>
        <v>N</v>
      </c>
      <c r="V232" s="773" t="str">
        <f t="shared" si="266"/>
        <v>A</v>
      </c>
      <c r="W232" s="773" t="str">
        <f t="shared" si="267"/>
        <v>N</v>
      </c>
      <c r="X232" s="773" t="str">
        <f t="shared" si="268"/>
        <v>N</v>
      </c>
      <c r="Y232" s="773" t="str">
        <f t="shared" si="269"/>
        <v>A</v>
      </c>
      <c r="Z232" s="773" t="str">
        <f t="shared" si="270"/>
        <v>A</v>
      </c>
      <c r="AA232" s="773" t="str">
        <f t="shared" si="271"/>
        <v>A</v>
      </c>
      <c r="AB232" s="773" t="str">
        <f t="shared" si="272"/>
        <v>A</v>
      </c>
      <c r="AC232" s="773" t="str">
        <f t="shared" si="272"/>
        <v>A</v>
      </c>
      <c r="AD232" s="876"/>
      <c r="AE232" s="863"/>
      <c r="AF232" s="870"/>
      <c r="AG232" s="1019"/>
      <c r="AH232" s="802"/>
      <c r="AI232" s="803"/>
    </row>
    <row r="233" spans="1:51" hidden="1" outlineLevel="1" x14ac:dyDescent="0.3">
      <c r="A233" s="159"/>
      <c r="B233" s="790"/>
      <c r="C233" s="792" t="s">
        <v>550</v>
      </c>
      <c r="D233" s="793">
        <v>0</v>
      </c>
      <c r="E233" s="791">
        <v>0</v>
      </c>
      <c r="F233" s="794">
        <v>0</v>
      </c>
      <c r="G233" s="794">
        <f t="shared" si="258"/>
        <v>0.3</v>
      </c>
      <c r="H233" s="794"/>
      <c r="I233" s="794"/>
      <c r="J233" s="794"/>
      <c r="K233" s="794"/>
      <c r="L233" s="794">
        <f t="shared" si="259"/>
        <v>0.4</v>
      </c>
      <c r="M233" s="794">
        <f t="shared" si="259"/>
        <v>0.3</v>
      </c>
      <c r="N233" s="794">
        <f t="shared" si="260"/>
        <v>0.3</v>
      </c>
      <c r="O233" s="794"/>
      <c r="P233" s="794">
        <f t="shared" si="261"/>
        <v>0.45</v>
      </c>
      <c r="Q233" s="794">
        <f t="shared" si="261"/>
        <v>0.3</v>
      </c>
      <c r="R233" s="794">
        <f t="shared" si="262"/>
        <v>0.25</v>
      </c>
      <c r="S233" s="794">
        <f t="shared" si="263"/>
        <v>0.25</v>
      </c>
      <c r="T233" s="794">
        <f t="shared" si="264"/>
        <v>0.25</v>
      </c>
      <c r="U233" s="794">
        <f t="shared" si="265"/>
        <v>0.3</v>
      </c>
      <c r="V233" s="794">
        <f t="shared" si="266"/>
        <v>0.5</v>
      </c>
      <c r="W233" s="794">
        <f t="shared" si="267"/>
        <v>0.3</v>
      </c>
      <c r="X233" s="794">
        <f t="shared" si="268"/>
        <v>0.3</v>
      </c>
      <c r="Y233" s="794">
        <f t="shared" si="269"/>
        <v>0.25</v>
      </c>
      <c r="Z233" s="794">
        <f t="shared" si="270"/>
        <v>0.25</v>
      </c>
      <c r="AA233" s="794">
        <f t="shared" si="271"/>
        <v>0.5</v>
      </c>
      <c r="AB233" s="794">
        <f t="shared" si="272"/>
        <v>0.25</v>
      </c>
      <c r="AC233" s="794">
        <f t="shared" si="272"/>
        <v>0.25</v>
      </c>
      <c r="AD233" s="877"/>
      <c r="AE233" s="864"/>
      <c r="AF233" s="871"/>
      <c r="AG233" s="1020"/>
      <c r="AH233" s="805"/>
      <c r="AI233" s="806"/>
    </row>
    <row r="234" spans="1:51" ht="69.599999999999994" customHeight="1" collapsed="1" x14ac:dyDescent="0.3">
      <c r="A234" s="159">
        <f ca="1">OFFSET(A234,-14,0)+1</f>
        <v>17</v>
      </c>
      <c r="B234" s="234" t="str">
        <f ca="1">'Procesy - AS IS'!B58</f>
        <v>Meranie č. 17</v>
      </c>
      <c r="C234" s="718" t="str">
        <f>'Procesy - AS IS'!C58</f>
        <v>BIOPRODUKT Dunajský Klátov, s.r.o., Dunajský Klátov, Kontrola prevádzkovateľov zariadení na zhodnocovanie odpadov, 3572/2018
8182/2018</v>
      </c>
      <c r="D234" s="796">
        <f>-'Procesy - AS IS'!D60*D247</f>
        <v>0</v>
      </c>
      <c r="E234" s="721">
        <f>-'Procesy - AS IS'!E60*E247</f>
        <v>0</v>
      </c>
      <c r="F234" s="721">
        <f>-'Procesy - AS IS'!F60*F247</f>
        <v>0</v>
      </c>
      <c r="G234" s="721">
        <f>-'Procesy - AS IS'!G60*G247</f>
        <v>-0.89999999999999991</v>
      </c>
      <c r="H234" s="721" t="s">
        <v>568</v>
      </c>
      <c r="I234" s="721" t="s">
        <v>568</v>
      </c>
      <c r="J234" s="721" t="s">
        <v>568</v>
      </c>
      <c r="K234" s="721" t="s">
        <v>568</v>
      </c>
      <c r="L234" s="721">
        <f>-'Procesy - AS IS'!L60*L247</f>
        <v>0</v>
      </c>
      <c r="M234" s="721">
        <f>-'Procesy - AS IS'!M60*M247</f>
        <v>-0.44999999999999996</v>
      </c>
      <c r="N234" s="721">
        <f>-'Procesy - AS IS'!N60*N247</f>
        <v>0</v>
      </c>
      <c r="O234" s="721" t="s">
        <v>572</v>
      </c>
      <c r="P234" s="721">
        <f>-'Procesy - AS IS'!P60*P247</f>
        <v>-0.9</v>
      </c>
      <c r="Q234" s="721">
        <f>-'Procesy - AS IS'!Q60*Q247</f>
        <v>0</v>
      </c>
      <c r="R234" s="721">
        <f>-'Procesy - AS IS'!R60*R247</f>
        <v>-1.1658959537572255</v>
      </c>
      <c r="S234" s="721">
        <f>-'Procesy - AS IS'!S60*S247</f>
        <v>-2.3027095375722544</v>
      </c>
      <c r="T234" s="721">
        <f>-'Procesy - AS IS'!T60*T247</f>
        <v>0</v>
      </c>
      <c r="U234" s="721">
        <f>-'Procesy - AS IS'!U60*U247</f>
        <v>-0.21255780346820807</v>
      </c>
      <c r="V234" s="721">
        <f>-'Procesy - AS IS'!V60*V247</f>
        <v>-0.25</v>
      </c>
      <c r="W234" s="721">
        <f>-'Procesy - AS IS'!W60*W247</f>
        <v>-7.8749999999999987E-2</v>
      </c>
      <c r="X234" s="721">
        <f>-'Procesy - AS IS'!X60*X247</f>
        <v>0</v>
      </c>
      <c r="Y234" s="721">
        <f>-'Procesy - AS IS'!Y60*Y247</f>
        <v>-0.7</v>
      </c>
      <c r="Z234" s="721">
        <f>-'Procesy - AS IS'!Z60*Z247</f>
        <v>-6.2500000000000003E-3</v>
      </c>
      <c r="AA234" s="721">
        <f>-'Procesy - AS IS'!AA60*AA247</f>
        <v>-2.5000000000000001E-2</v>
      </c>
      <c r="AB234" s="721">
        <f>-'Procesy - AS IS'!AB60*AB247</f>
        <v>-0.1</v>
      </c>
      <c r="AC234" s="721">
        <f>-'Procesy - AS IS'!AC60*AC247</f>
        <v>-0.25</v>
      </c>
      <c r="AD234" s="824">
        <f>SUM(D234:AC234)</f>
        <v>-7.3411632947976884</v>
      </c>
      <c r="AE234" s="798">
        <f>AD234/'Procesy - AS IS'!AD60</f>
        <v>-0.28105043609114072</v>
      </c>
      <c r="AF234" s="869">
        <f>'Procesy - AS IS'!AG60/(1+$AE234)-'Procesy - AS IS'!AG60</f>
        <v>15.636726146023193</v>
      </c>
      <c r="AG234" s="1018">
        <f>'Procesy - AS IS'!AH60/(1+$AE234)-'Procesy - AS IS'!AH60</f>
        <v>4.5576989359145621</v>
      </c>
      <c r="AH234" s="800">
        <f>'Procesy - AS IS'!AI60/(1+$AE234)-'Procesy - AS IS'!AI60</f>
        <v>2.7364270755540581</v>
      </c>
      <c r="AI234" s="801">
        <f>'Procesy - AS IS'!AJ60/(1+$AE234)-'Procesy - AS IS'!AJ60</f>
        <v>0.39091815365057991</v>
      </c>
      <c r="AK234" s="232"/>
      <c r="AY234" s="227"/>
    </row>
    <row r="235" spans="1:51" hidden="1" outlineLevel="1" x14ac:dyDescent="0.3">
      <c r="A235" s="159"/>
      <c r="B235" s="1190" t="s">
        <v>540</v>
      </c>
      <c r="C235" s="735" t="str">
        <f>'Optimalizačné opatrenia'!$B$2</f>
        <v>Modernizácia</v>
      </c>
      <c r="D235" s="773" t="s">
        <v>542</v>
      </c>
      <c r="E235" s="742" t="s">
        <v>542</v>
      </c>
      <c r="F235" s="773" t="s">
        <v>542</v>
      </c>
      <c r="G235" s="773" t="str">
        <f t="shared" si="258"/>
        <v>A</v>
      </c>
      <c r="H235" s="773"/>
      <c r="I235" s="773"/>
      <c r="J235" s="773"/>
      <c r="K235" s="773"/>
      <c r="L235" s="773" t="str">
        <f t="shared" ref="L235:M235" si="273">L221</f>
        <v>A</v>
      </c>
      <c r="M235" s="773" t="str">
        <f t="shared" si="273"/>
        <v>A</v>
      </c>
      <c r="N235" s="773" t="str">
        <f t="shared" ref="N235:N247" si="274">G235</f>
        <v>A</v>
      </c>
      <c r="O235" s="773"/>
      <c r="P235" s="773" t="str">
        <f t="shared" ref="P235:Q235" si="275">P207</f>
        <v>A</v>
      </c>
      <c r="Q235" s="773" t="str">
        <f t="shared" si="275"/>
        <v>A</v>
      </c>
      <c r="R235" s="773" t="str">
        <f t="shared" si="262"/>
        <v>A</v>
      </c>
      <c r="S235" s="773" t="str">
        <f t="shared" ref="S235:S247" si="276">R235</f>
        <v>A</v>
      </c>
      <c r="T235" s="773" t="str">
        <f t="shared" ref="T235:T247" si="277">R207</f>
        <v>A</v>
      </c>
      <c r="U235" s="773" t="str">
        <f t="shared" si="265"/>
        <v>A</v>
      </c>
      <c r="V235" s="773" t="str">
        <f t="shared" si="266"/>
        <v>A</v>
      </c>
      <c r="W235" s="773" t="str">
        <f t="shared" ref="W235:W247" si="278">W21</f>
        <v>A</v>
      </c>
      <c r="X235" s="773" t="str">
        <f t="shared" si="268"/>
        <v>A</v>
      </c>
      <c r="Y235" s="773" t="str">
        <f t="shared" si="269"/>
        <v>A</v>
      </c>
      <c r="Z235" s="773" t="str">
        <f t="shared" ref="Z235:Z247" si="279">R207</f>
        <v>A</v>
      </c>
      <c r="AA235" s="773" t="str">
        <f t="shared" si="271"/>
        <v>A</v>
      </c>
      <c r="AB235" s="773" t="str">
        <f t="shared" si="272"/>
        <v>A</v>
      </c>
      <c r="AC235" s="773" t="str">
        <f t="shared" si="272"/>
        <v>A</v>
      </c>
      <c r="AD235" s="876"/>
      <c r="AE235" s="863"/>
      <c r="AF235" s="870"/>
      <c r="AG235" s="1019"/>
      <c r="AH235" s="802"/>
      <c r="AI235" s="803"/>
    </row>
    <row r="236" spans="1:51" hidden="1" outlineLevel="1" x14ac:dyDescent="0.3">
      <c r="A236" s="159"/>
      <c r="B236" s="1191"/>
      <c r="C236" s="735" t="str">
        <f>'Optimalizačné opatrenia'!$B$3</f>
        <v>Sfunkčnenie</v>
      </c>
      <c r="D236" s="788" t="s">
        <v>542</v>
      </c>
      <c r="E236" s="773" t="s">
        <v>542</v>
      </c>
      <c r="F236" s="773" t="s">
        <v>542</v>
      </c>
      <c r="G236" s="773" t="str">
        <f t="shared" si="258"/>
        <v>N</v>
      </c>
      <c r="H236" s="773"/>
      <c r="I236" s="773"/>
      <c r="J236" s="773"/>
      <c r="K236" s="773"/>
      <c r="L236" s="773" t="str">
        <f t="shared" ref="L236:M236" si="280">L222</f>
        <v>N</v>
      </c>
      <c r="M236" s="773" t="str">
        <f t="shared" si="280"/>
        <v>N</v>
      </c>
      <c r="N236" s="773" t="str">
        <f t="shared" si="274"/>
        <v>N</v>
      </c>
      <c r="O236" s="773"/>
      <c r="P236" s="773" t="str">
        <f t="shared" ref="P236:Q236" si="281">P208</f>
        <v>N</v>
      </c>
      <c r="Q236" s="773" t="str">
        <f t="shared" si="281"/>
        <v>N</v>
      </c>
      <c r="R236" s="773" t="str">
        <f t="shared" si="262"/>
        <v>N</v>
      </c>
      <c r="S236" s="773" t="str">
        <f t="shared" si="276"/>
        <v>N</v>
      </c>
      <c r="T236" s="773" t="str">
        <f t="shared" si="277"/>
        <v>N</v>
      </c>
      <c r="U236" s="773" t="str">
        <f t="shared" si="265"/>
        <v>N</v>
      </c>
      <c r="V236" s="773" t="str">
        <f t="shared" si="266"/>
        <v>N</v>
      </c>
      <c r="W236" s="773" t="str">
        <f t="shared" si="278"/>
        <v>N</v>
      </c>
      <c r="X236" s="773" t="str">
        <f t="shared" si="268"/>
        <v>N</v>
      </c>
      <c r="Y236" s="773" t="str">
        <f t="shared" si="269"/>
        <v>N</v>
      </c>
      <c r="Z236" s="773" t="str">
        <f t="shared" si="279"/>
        <v>N</v>
      </c>
      <c r="AA236" s="773" t="str">
        <f t="shared" si="271"/>
        <v>N</v>
      </c>
      <c r="AB236" s="773" t="str">
        <f t="shared" si="272"/>
        <v>N</v>
      </c>
      <c r="AC236" s="773" t="str">
        <f t="shared" si="272"/>
        <v>N</v>
      </c>
      <c r="AD236" s="876"/>
      <c r="AE236" s="863"/>
      <c r="AF236" s="870"/>
      <c r="AG236" s="1019"/>
      <c r="AH236" s="802"/>
      <c r="AI236" s="803"/>
    </row>
    <row r="237" spans="1:51" hidden="1" outlineLevel="1" x14ac:dyDescent="0.3">
      <c r="A237" s="159"/>
      <c r="B237" s="1191"/>
      <c r="C237" s="735" t="str">
        <f>'Optimalizačné opatrenia'!$B$4</f>
        <v>Zjednotenie</v>
      </c>
      <c r="D237" s="788" t="s">
        <v>542</v>
      </c>
      <c r="E237" s="773" t="s">
        <v>542</v>
      </c>
      <c r="F237" s="773" t="s">
        <v>542</v>
      </c>
      <c r="G237" s="773" t="str">
        <f t="shared" si="258"/>
        <v>A</v>
      </c>
      <c r="H237" s="773"/>
      <c r="I237" s="773"/>
      <c r="J237" s="773"/>
      <c r="K237" s="773"/>
      <c r="L237" s="773" t="str">
        <f t="shared" ref="L237:M237" si="282">L223</f>
        <v>A</v>
      </c>
      <c r="M237" s="773" t="str">
        <f t="shared" si="282"/>
        <v>A</v>
      </c>
      <c r="N237" s="773" t="str">
        <f t="shared" si="274"/>
        <v>A</v>
      </c>
      <c r="O237" s="773"/>
      <c r="P237" s="773" t="str">
        <f t="shared" ref="P237:Q237" si="283">P209</f>
        <v>A</v>
      </c>
      <c r="Q237" s="773" t="str">
        <f t="shared" si="283"/>
        <v>A</v>
      </c>
      <c r="R237" s="773" t="str">
        <f t="shared" si="262"/>
        <v>A</v>
      </c>
      <c r="S237" s="773" t="str">
        <f t="shared" si="276"/>
        <v>A</v>
      </c>
      <c r="T237" s="773" t="str">
        <f t="shared" si="277"/>
        <v>A</v>
      </c>
      <c r="U237" s="773" t="str">
        <f t="shared" si="265"/>
        <v>A</v>
      </c>
      <c r="V237" s="773" t="str">
        <f t="shared" si="266"/>
        <v>A</v>
      </c>
      <c r="W237" s="773" t="str">
        <f t="shared" si="278"/>
        <v>A</v>
      </c>
      <c r="X237" s="773" t="str">
        <f t="shared" si="268"/>
        <v>A</v>
      </c>
      <c r="Y237" s="773" t="str">
        <f t="shared" si="269"/>
        <v>A</v>
      </c>
      <c r="Z237" s="773" t="str">
        <f t="shared" si="279"/>
        <v>A</v>
      </c>
      <c r="AA237" s="773" t="str">
        <f t="shared" si="271"/>
        <v>A</v>
      </c>
      <c r="AB237" s="773" t="str">
        <f t="shared" ref="AB237:AC247" si="284">$R237</f>
        <v>A</v>
      </c>
      <c r="AC237" s="773" t="str">
        <f t="shared" si="284"/>
        <v>A</v>
      </c>
      <c r="AD237" s="876"/>
      <c r="AE237" s="863"/>
      <c r="AF237" s="870"/>
      <c r="AG237" s="1019"/>
      <c r="AH237" s="802"/>
      <c r="AI237" s="803"/>
    </row>
    <row r="238" spans="1:51" hidden="1" outlineLevel="1" x14ac:dyDescent="0.3">
      <c r="A238" s="159"/>
      <c r="B238" s="1191"/>
      <c r="C238" s="735" t="str">
        <f>'Optimalizačné opatrenia'!$B$5</f>
        <v>Centralizácia</v>
      </c>
      <c r="D238" s="788" t="s">
        <v>542</v>
      </c>
      <c r="E238" s="773" t="s">
        <v>542</v>
      </c>
      <c r="F238" s="773" t="s">
        <v>542</v>
      </c>
      <c r="G238" s="773" t="str">
        <f t="shared" si="258"/>
        <v>A</v>
      </c>
      <c r="H238" s="773"/>
      <c r="I238" s="773"/>
      <c r="J238" s="773"/>
      <c r="K238" s="773"/>
      <c r="L238" s="773" t="str">
        <f t="shared" ref="L238:M238" si="285">L224</f>
        <v>A</v>
      </c>
      <c r="M238" s="773" t="str">
        <f t="shared" si="285"/>
        <v>A</v>
      </c>
      <c r="N238" s="773" t="str">
        <f t="shared" si="274"/>
        <v>A</v>
      </c>
      <c r="O238" s="773"/>
      <c r="P238" s="773" t="str">
        <f t="shared" ref="P238:Q238" si="286">P210</f>
        <v>A</v>
      </c>
      <c r="Q238" s="773" t="str">
        <f t="shared" si="286"/>
        <v>A</v>
      </c>
      <c r="R238" s="773" t="str">
        <f t="shared" si="262"/>
        <v>A</v>
      </c>
      <c r="S238" s="773" t="str">
        <f t="shared" si="276"/>
        <v>A</v>
      </c>
      <c r="T238" s="773" t="str">
        <f t="shared" si="277"/>
        <v>A</v>
      </c>
      <c r="U238" s="773" t="str">
        <f t="shared" si="265"/>
        <v>A</v>
      </c>
      <c r="V238" s="773" t="str">
        <f t="shared" si="266"/>
        <v>A</v>
      </c>
      <c r="W238" s="773" t="str">
        <f t="shared" si="278"/>
        <v>A</v>
      </c>
      <c r="X238" s="773" t="str">
        <f t="shared" si="268"/>
        <v>A</v>
      </c>
      <c r="Y238" s="773" t="str">
        <f t="shared" si="269"/>
        <v>A</v>
      </c>
      <c r="Z238" s="773" t="str">
        <f t="shared" si="279"/>
        <v>A</v>
      </c>
      <c r="AA238" s="773" t="str">
        <f t="shared" si="271"/>
        <v>A</v>
      </c>
      <c r="AB238" s="773" t="str">
        <f t="shared" si="284"/>
        <v>A</v>
      </c>
      <c r="AC238" s="773" t="str">
        <f t="shared" si="284"/>
        <v>A</v>
      </c>
      <c r="AD238" s="876"/>
      <c r="AE238" s="863"/>
      <c r="AF238" s="870"/>
      <c r="AG238" s="1019"/>
      <c r="AH238" s="802"/>
      <c r="AI238" s="803"/>
    </row>
    <row r="239" spans="1:51" hidden="1" outlineLevel="1" x14ac:dyDescent="0.3">
      <c r="A239" s="159"/>
      <c r="B239" s="1191"/>
      <c r="C239" s="735" t="str">
        <f>'Optimalizačné opatrenia'!$B$6</f>
        <v>Elektronizácia</v>
      </c>
      <c r="D239" s="788" t="s">
        <v>542</v>
      </c>
      <c r="E239" s="773" t="s">
        <v>542</v>
      </c>
      <c r="F239" s="773" t="s">
        <v>542</v>
      </c>
      <c r="G239" s="773" t="str">
        <f t="shared" si="258"/>
        <v>A</v>
      </c>
      <c r="H239" s="773"/>
      <c r="I239" s="773"/>
      <c r="J239" s="773"/>
      <c r="K239" s="773"/>
      <c r="L239" s="773" t="str">
        <f t="shared" ref="L239:M239" si="287">L225</f>
        <v>A</v>
      </c>
      <c r="M239" s="773" t="str">
        <f t="shared" si="287"/>
        <v>A</v>
      </c>
      <c r="N239" s="773" t="str">
        <f t="shared" si="274"/>
        <v>A</v>
      </c>
      <c r="O239" s="773"/>
      <c r="P239" s="773" t="str">
        <f t="shared" ref="P239:Q239" si="288">P211</f>
        <v>A</v>
      </c>
      <c r="Q239" s="773" t="str">
        <f t="shared" si="288"/>
        <v>A</v>
      </c>
      <c r="R239" s="773" t="str">
        <f t="shared" si="262"/>
        <v>A</v>
      </c>
      <c r="S239" s="773" t="str">
        <f t="shared" si="276"/>
        <v>A</v>
      </c>
      <c r="T239" s="773" t="str">
        <f t="shared" si="277"/>
        <v>A</v>
      </c>
      <c r="U239" s="773" t="str">
        <f t="shared" si="265"/>
        <v>A</v>
      </c>
      <c r="V239" s="773" t="str">
        <f t="shared" si="266"/>
        <v>A</v>
      </c>
      <c r="W239" s="773" t="str">
        <f t="shared" si="278"/>
        <v>A</v>
      </c>
      <c r="X239" s="773" t="str">
        <f t="shared" si="268"/>
        <v>A</v>
      </c>
      <c r="Y239" s="773" t="str">
        <f t="shared" si="269"/>
        <v>A</v>
      </c>
      <c r="Z239" s="773" t="str">
        <f t="shared" si="279"/>
        <v>A</v>
      </c>
      <c r="AA239" s="773" t="str">
        <f t="shared" si="271"/>
        <v>A</v>
      </c>
      <c r="AB239" s="773" t="str">
        <f t="shared" si="284"/>
        <v>A</v>
      </c>
      <c r="AC239" s="773" t="str">
        <f t="shared" si="284"/>
        <v>A</v>
      </c>
      <c r="AD239" s="876"/>
      <c r="AE239" s="863"/>
      <c r="AF239" s="870"/>
      <c r="AG239" s="1019"/>
      <c r="AH239" s="802"/>
      <c r="AI239" s="803"/>
    </row>
    <row r="240" spans="1:51" hidden="1" outlineLevel="1" x14ac:dyDescent="0.3">
      <c r="A240" s="159"/>
      <c r="B240" s="1191"/>
      <c r="C240" s="735" t="str">
        <f>'Optimalizačné opatrenia'!$B$7</f>
        <v>Automatizácia</v>
      </c>
      <c r="D240" s="788" t="s">
        <v>542</v>
      </c>
      <c r="E240" s="773" t="s">
        <v>542</v>
      </c>
      <c r="F240" s="773" t="s">
        <v>542</v>
      </c>
      <c r="G240" s="773" t="str">
        <f t="shared" si="258"/>
        <v>A</v>
      </c>
      <c r="H240" s="773"/>
      <c r="I240" s="773"/>
      <c r="J240" s="773"/>
      <c r="K240" s="773"/>
      <c r="L240" s="773" t="str">
        <f t="shared" ref="L240:M240" si="289">L226</f>
        <v>A</v>
      </c>
      <c r="M240" s="773" t="str">
        <f t="shared" si="289"/>
        <v>A</v>
      </c>
      <c r="N240" s="773" t="str">
        <f t="shared" si="274"/>
        <v>A</v>
      </c>
      <c r="O240" s="773"/>
      <c r="P240" s="773" t="str">
        <f t="shared" ref="P240:Q240" si="290">P212</f>
        <v>A</v>
      </c>
      <c r="Q240" s="773" t="str">
        <f t="shared" si="290"/>
        <v>A</v>
      </c>
      <c r="R240" s="773" t="str">
        <f t="shared" si="262"/>
        <v>A</v>
      </c>
      <c r="S240" s="773" t="str">
        <f t="shared" si="276"/>
        <v>A</v>
      </c>
      <c r="T240" s="773" t="str">
        <f t="shared" si="277"/>
        <v>A</v>
      </c>
      <c r="U240" s="773" t="str">
        <f t="shared" si="265"/>
        <v>A</v>
      </c>
      <c r="V240" s="773" t="str">
        <f t="shared" si="266"/>
        <v>A</v>
      </c>
      <c r="W240" s="773" t="str">
        <f t="shared" si="278"/>
        <v>A</v>
      </c>
      <c r="X240" s="773" t="str">
        <f t="shared" si="268"/>
        <v>A</v>
      </c>
      <c r="Y240" s="773" t="str">
        <f t="shared" si="269"/>
        <v>A</v>
      </c>
      <c r="Z240" s="773" t="str">
        <f t="shared" si="279"/>
        <v>A</v>
      </c>
      <c r="AA240" s="773" t="str">
        <f t="shared" si="271"/>
        <v>A</v>
      </c>
      <c r="AB240" s="773" t="str">
        <f t="shared" si="284"/>
        <v>A</v>
      </c>
      <c r="AC240" s="773" t="str">
        <f t="shared" si="284"/>
        <v>A</v>
      </c>
      <c r="AD240" s="876"/>
      <c r="AE240" s="863"/>
      <c r="AF240" s="870"/>
      <c r="AG240" s="1019"/>
      <c r="AH240" s="802"/>
      <c r="AI240" s="803"/>
    </row>
    <row r="241" spans="1:51" hidden="1" outlineLevel="1" x14ac:dyDescent="0.3">
      <c r="A241" s="159"/>
      <c r="B241" s="1191"/>
      <c r="C241" s="735" t="str">
        <f>'Optimalizačné opatrenia'!$B$8</f>
        <v>Bezpečnosť</v>
      </c>
      <c r="D241" s="788" t="s">
        <v>542</v>
      </c>
      <c r="E241" s="773" t="s">
        <v>542</v>
      </c>
      <c r="F241" s="773" t="s">
        <v>542</v>
      </c>
      <c r="G241" s="773" t="str">
        <f t="shared" si="258"/>
        <v>A</v>
      </c>
      <c r="H241" s="773"/>
      <c r="I241" s="773"/>
      <c r="J241" s="773"/>
      <c r="K241" s="773"/>
      <c r="L241" s="773" t="str">
        <f t="shared" ref="L241:M241" si="291">L227</f>
        <v>A</v>
      </c>
      <c r="M241" s="773" t="str">
        <f t="shared" si="291"/>
        <v>A</v>
      </c>
      <c r="N241" s="773" t="str">
        <f t="shared" si="274"/>
        <v>A</v>
      </c>
      <c r="O241" s="773"/>
      <c r="P241" s="773" t="str">
        <f t="shared" ref="P241:Q241" si="292">P213</f>
        <v>A</v>
      </c>
      <c r="Q241" s="773" t="str">
        <f t="shared" si="292"/>
        <v>A</v>
      </c>
      <c r="R241" s="773" t="str">
        <f t="shared" si="262"/>
        <v>A</v>
      </c>
      <c r="S241" s="773" t="str">
        <f t="shared" si="276"/>
        <v>A</v>
      </c>
      <c r="T241" s="773" t="str">
        <f t="shared" si="277"/>
        <v>A</v>
      </c>
      <c r="U241" s="773" t="str">
        <f t="shared" si="265"/>
        <v>A</v>
      </c>
      <c r="V241" s="773" t="str">
        <f t="shared" si="266"/>
        <v>A</v>
      </c>
      <c r="W241" s="773" t="str">
        <f t="shared" si="278"/>
        <v>A</v>
      </c>
      <c r="X241" s="773" t="str">
        <f t="shared" si="268"/>
        <v>A</v>
      </c>
      <c r="Y241" s="773" t="str">
        <f t="shared" si="269"/>
        <v>A</v>
      </c>
      <c r="Z241" s="773" t="str">
        <f t="shared" si="279"/>
        <v>A</v>
      </c>
      <c r="AA241" s="773" t="str">
        <f t="shared" si="271"/>
        <v>A</v>
      </c>
      <c r="AB241" s="773" t="str">
        <f t="shared" si="284"/>
        <v>A</v>
      </c>
      <c r="AC241" s="773" t="str">
        <f t="shared" si="284"/>
        <v>A</v>
      </c>
      <c r="AD241" s="876"/>
      <c r="AE241" s="863"/>
      <c r="AF241" s="870"/>
      <c r="AG241" s="1019"/>
      <c r="AH241" s="802"/>
      <c r="AI241" s="803"/>
    </row>
    <row r="242" spans="1:51" hidden="1" outlineLevel="1" x14ac:dyDescent="0.3">
      <c r="A242" s="159"/>
      <c r="B242" s="1191"/>
      <c r="C242" s="735" t="str">
        <f>'Optimalizačné opatrenia'!$B$9</f>
        <v>Auditovateľnosť</v>
      </c>
      <c r="D242" s="788" t="s">
        <v>542</v>
      </c>
      <c r="E242" s="773" t="s">
        <v>542</v>
      </c>
      <c r="F242" s="773" t="s">
        <v>542</v>
      </c>
      <c r="G242" s="773" t="str">
        <f t="shared" si="258"/>
        <v>A</v>
      </c>
      <c r="H242" s="773"/>
      <c r="I242" s="773"/>
      <c r="J242" s="773"/>
      <c r="K242" s="773"/>
      <c r="L242" s="773" t="str">
        <f t="shared" ref="L242:M242" si="293">L228</f>
        <v>A</v>
      </c>
      <c r="M242" s="773" t="str">
        <f t="shared" si="293"/>
        <v>A</v>
      </c>
      <c r="N242" s="773" t="str">
        <f t="shared" si="274"/>
        <v>A</v>
      </c>
      <c r="O242" s="773"/>
      <c r="P242" s="773" t="str">
        <f t="shared" ref="P242:Q242" si="294">P214</f>
        <v>A</v>
      </c>
      <c r="Q242" s="773" t="str">
        <f t="shared" si="294"/>
        <v>A</v>
      </c>
      <c r="R242" s="773" t="str">
        <f t="shared" si="262"/>
        <v>N</v>
      </c>
      <c r="S242" s="773" t="str">
        <f t="shared" si="276"/>
        <v>N</v>
      </c>
      <c r="T242" s="773" t="str">
        <f t="shared" si="277"/>
        <v>N</v>
      </c>
      <c r="U242" s="773" t="str">
        <f t="shared" si="265"/>
        <v>A</v>
      </c>
      <c r="V242" s="773" t="str">
        <f t="shared" si="266"/>
        <v>A</v>
      </c>
      <c r="W242" s="773" t="str">
        <f t="shared" si="278"/>
        <v>A</v>
      </c>
      <c r="X242" s="773" t="str">
        <f t="shared" si="268"/>
        <v>A</v>
      </c>
      <c r="Y242" s="773" t="str">
        <f t="shared" si="269"/>
        <v>N</v>
      </c>
      <c r="Z242" s="773" t="str">
        <f t="shared" si="279"/>
        <v>N</v>
      </c>
      <c r="AA242" s="773" t="str">
        <f t="shared" si="271"/>
        <v>A</v>
      </c>
      <c r="AB242" s="773" t="str">
        <f t="shared" si="284"/>
        <v>N</v>
      </c>
      <c r="AC242" s="773" t="str">
        <f t="shared" si="284"/>
        <v>N</v>
      </c>
      <c r="AD242" s="876"/>
      <c r="AE242" s="863"/>
      <c r="AF242" s="870"/>
      <c r="AG242" s="1019"/>
      <c r="AH242" s="802"/>
      <c r="AI242" s="803"/>
    </row>
    <row r="243" spans="1:51" hidden="1" outlineLevel="1" x14ac:dyDescent="0.3">
      <c r="A243" s="159"/>
      <c r="B243" s="1191"/>
      <c r="C243" s="735" t="str">
        <f>'Optimalizačné opatrenia'!$B$10</f>
        <v>Transparentnosť</v>
      </c>
      <c r="D243" s="788" t="s">
        <v>542</v>
      </c>
      <c r="E243" s="773" t="s">
        <v>542</v>
      </c>
      <c r="F243" s="773" t="s">
        <v>542</v>
      </c>
      <c r="G243" s="773" t="str">
        <f t="shared" si="258"/>
        <v>N</v>
      </c>
      <c r="H243" s="773"/>
      <c r="I243" s="773"/>
      <c r="J243" s="773"/>
      <c r="K243" s="773"/>
      <c r="L243" s="773" t="str">
        <f t="shared" ref="L243:M243" si="295">L229</f>
        <v>N</v>
      </c>
      <c r="M243" s="773" t="str">
        <f t="shared" si="295"/>
        <v>N</v>
      </c>
      <c r="N243" s="773" t="str">
        <f t="shared" si="274"/>
        <v>N</v>
      </c>
      <c r="O243" s="773"/>
      <c r="P243" s="773" t="str">
        <f t="shared" ref="P243:Q243" si="296">P215</f>
        <v>A</v>
      </c>
      <c r="Q243" s="773" t="str">
        <f t="shared" si="296"/>
        <v>N</v>
      </c>
      <c r="R243" s="773" t="str">
        <f t="shared" si="262"/>
        <v>N</v>
      </c>
      <c r="S243" s="773" t="str">
        <f t="shared" si="276"/>
        <v>N</v>
      </c>
      <c r="T243" s="773" t="str">
        <f t="shared" si="277"/>
        <v>N</v>
      </c>
      <c r="U243" s="773" t="str">
        <f t="shared" si="265"/>
        <v>N</v>
      </c>
      <c r="V243" s="773" t="str">
        <f t="shared" si="266"/>
        <v>A</v>
      </c>
      <c r="W243" s="773" t="str">
        <f t="shared" si="278"/>
        <v>N</v>
      </c>
      <c r="X243" s="773" t="str">
        <f t="shared" si="268"/>
        <v>N</v>
      </c>
      <c r="Y243" s="773" t="str">
        <f t="shared" si="269"/>
        <v>N</v>
      </c>
      <c r="Z243" s="773" t="str">
        <f t="shared" si="279"/>
        <v>N</v>
      </c>
      <c r="AA243" s="773" t="str">
        <f t="shared" si="271"/>
        <v>A</v>
      </c>
      <c r="AB243" s="773" t="str">
        <f t="shared" si="284"/>
        <v>N</v>
      </c>
      <c r="AC243" s="773" t="str">
        <f t="shared" si="284"/>
        <v>N</v>
      </c>
      <c r="AD243" s="876"/>
      <c r="AE243" s="863"/>
      <c r="AF243" s="870"/>
      <c r="AG243" s="1019"/>
      <c r="AH243" s="802"/>
      <c r="AI243" s="803"/>
    </row>
    <row r="244" spans="1:51" hidden="1" outlineLevel="1" x14ac:dyDescent="0.3">
      <c r="A244" s="159"/>
      <c r="B244" s="1191"/>
      <c r="C244" s="735" t="str">
        <f>'Optimalizačné opatrenia'!$B$11</f>
        <v>Analyzovatelnosť</v>
      </c>
      <c r="D244" s="788" t="s">
        <v>542</v>
      </c>
      <c r="E244" s="773" t="s">
        <v>542</v>
      </c>
      <c r="F244" s="773" t="s">
        <v>542</v>
      </c>
      <c r="G244" s="773" t="str">
        <f t="shared" si="258"/>
        <v>A</v>
      </c>
      <c r="H244" s="773"/>
      <c r="I244" s="773"/>
      <c r="J244" s="773"/>
      <c r="K244" s="773"/>
      <c r="L244" s="773" t="str">
        <f t="shared" ref="L244:M244" si="297">L230</f>
        <v>A</v>
      </c>
      <c r="M244" s="773" t="str">
        <f t="shared" si="297"/>
        <v>A</v>
      </c>
      <c r="N244" s="773" t="str">
        <f t="shared" si="274"/>
        <v>A</v>
      </c>
      <c r="O244" s="773"/>
      <c r="P244" s="773" t="str">
        <f t="shared" ref="P244:Q244" si="298">P216</f>
        <v>A</v>
      </c>
      <c r="Q244" s="773" t="str">
        <f t="shared" si="298"/>
        <v>A</v>
      </c>
      <c r="R244" s="773" t="str">
        <f t="shared" si="262"/>
        <v>N</v>
      </c>
      <c r="S244" s="773" t="str">
        <f t="shared" si="276"/>
        <v>N</v>
      </c>
      <c r="T244" s="773" t="str">
        <f t="shared" si="277"/>
        <v>N</v>
      </c>
      <c r="U244" s="773" t="str">
        <f t="shared" si="265"/>
        <v>A</v>
      </c>
      <c r="V244" s="773" t="str">
        <f t="shared" si="266"/>
        <v>A</v>
      </c>
      <c r="W244" s="773" t="str">
        <f t="shared" si="278"/>
        <v>A</v>
      </c>
      <c r="X244" s="773" t="str">
        <f t="shared" si="268"/>
        <v>A</v>
      </c>
      <c r="Y244" s="773" t="str">
        <f t="shared" si="269"/>
        <v>N</v>
      </c>
      <c r="Z244" s="773" t="str">
        <f t="shared" si="279"/>
        <v>N</v>
      </c>
      <c r="AA244" s="773" t="str">
        <f t="shared" si="271"/>
        <v>A</v>
      </c>
      <c r="AB244" s="773" t="str">
        <f t="shared" si="284"/>
        <v>N</v>
      </c>
      <c r="AC244" s="773" t="str">
        <f t="shared" si="284"/>
        <v>N</v>
      </c>
      <c r="AD244" s="876"/>
      <c r="AE244" s="863"/>
      <c r="AF244" s="870"/>
      <c r="AG244" s="1019"/>
      <c r="AH244" s="802"/>
      <c r="AI244" s="803"/>
    </row>
    <row r="245" spans="1:51" hidden="1" outlineLevel="1" x14ac:dyDescent="0.3">
      <c r="A245" s="159"/>
      <c r="B245" s="1191"/>
      <c r="C245" s="735" t="str">
        <f>'Optimalizačné opatrenia'!$B$12</f>
        <v>Integrácia</v>
      </c>
      <c r="D245" s="788" t="s">
        <v>542</v>
      </c>
      <c r="E245" s="773" t="s">
        <v>542</v>
      </c>
      <c r="F245" s="773" t="s">
        <v>542</v>
      </c>
      <c r="G245" s="773" t="str">
        <f t="shared" si="258"/>
        <v>A</v>
      </c>
      <c r="H245" s="773"/>
      <c r="I245" s="773"/>
      <c r="J245" s="773"/>
      <c r="K245" s="773"/>
      <c r="L245" s="773" t="str">
        <f t="shared" ref="L245:M245" si="299">L231</f>
        <v>A</v>
      </c>
      <c r="M245" s="773" t="str">
        <f t="shared" si="299"/>
        <v>A</v>
      </c>
      <c r="N245" s="773" t="str">
        <f t="shared" si="274"/>
        <v>A</v>
      </c>
      <c r="O245" s="773"/>
      <c r="P245" s="773" t="str">
        <f t="shared" ref="P245:Q245" si="300">P217</f>
        <v>A</v>
      </c>
      <c r="Q245" s="773" t="str">
        <f t="shared" si="300"/>
        <v>A</v>
      </c>
      <c r="R245" s="773" t="str">
        <f t="shared" si="262"/>
        <v>A</v>
      </c>
      <c r="S245" s="773" t="str">
        <f t="shared" si="276"/>
        <v>A</v>
      </c>
      <c r="T245" s="773" t="str">
        <f t="shared" si="277"/>
        <v>A</v>
      </c>
      <c r="U245" s="773" t="str">
        <f t="shared" si="265"/>
        <v>A</v>
      </c>
      <c r="V245" s="773" t="str">
        <f t="shared" si="266"/>
        <v>A</v>
      </c>
      <c r="W245" s="773" t="str">
        <f t="shared" si="278"/>
        <v>A</v>
      </c>
      <c r="X245" s="773" t="str">
        <f t="shared" si="268"/>
        <v>A</v>
      </c>
      <c r="Y245" s="773" t="str">
        <f t="shared" si="269"/>
        <v>A</v>
      </c>
      <c r="Z245" s="773" t="str">
        <f t="shared" si="279"/>
        <v>A</v>
      </c>
      <c r="AA245" s="773" t="str">
        <f t="shared" si="271"/>
        <v>A</v>
      </c>
      <c r="AB245" s="773" t="str">
        <f t="shared" si="284"/>
        <v>A</v>
      </c>
      <c r="AC245" s="773" t="str">
        <f t="shared" si="284"/>
        <v>A</v>
      </c>
      <c r="AD245" s="876"/>
      <c r="AE245" s="863"/>
      <c r="AF245" s="870"/>
      <c r="AG245" s="1019"/>
      <c r="AH245" s="802"/>
      <c r="AI245" s="803"/>
    </row>
    <row r="246" spans="1:51" hidden="1" outlineLevel="1" x14ac:dyDescent="0.3">
      <c r="A246" s="159"/>
      <c r="B246" s="1191"/>
      <c r="C246" s="740" t="str">
        <f>'Optimalizačné opatrenia'!$B$13</f>
        <v>Proaktivita</v>
      </c>
      <c r="D246" s="788" t="s">
        <v>542</v>
      </c>
      <c r="E246" s="773" t="s">
        <v>542</v>
      </c>
      <c r="F246" s="773" t="s">
        <v>542</v>
      </c>
      <c r="G246" s="773" t="str">
        <f t="shared" si="258"/>
        <v>N</v>
      </c>
      <c r="H246" s="773"/>
      <c r="I246" s="773"/>
      <c r="J246" s="773"/>
      <c r="K246" s="773"/>
      <c r="L246" s="773" t="str">
        <f t="shared" ref="L246:M246" si="301">L232</f>
        <v>A</v>
      </c>
      <c r="M246" s="773" t="str">
        <f t="shared" si="301"/>
        <v>N</v>
      </c>
      <c r="N246" s="773" t="str">
        <f t="shared" si="274"/>
        <v>N</v>
      </c>
      <c r="O246" s="773"/>
      <c r="P246" s="773" t="str">
        <f t="shared" ref="P246:Q246" si="302">P218</f>
        <v>N</v>
      </c>
      <c r="Q246" s="773" t="str">
        <f t="shared" si="302"/>
        <v>N</v>
      </c>
      <c r="R246" s="773" t="str">
        <f t="shared" si="262"/>
        <v>A</v>
      </c>
      <c r="S246" s="773" t="str">
        <f t="shared" si="276"/>
        <v>A</v>
      </c>
      <c r="T246" s="773" t="str">
        <f t="shared" si="277"/>
        <v>A</v>
      </c>
      <c r="U246" s="773" t="str">
        <f t="shared" si="265"/>
        <v>N</v>
      </c>
      <c r="V246" s="773" t="str">
        <f t="shared" si="266"/>
        <v>A</v>
      </c>
      <c r="W246" s="773" t="str">
        <f t="shared" si="278"/>
        <v>N</v>
      </c>
      <c r="X246" s="773" t="str">
        <f t="shared" si="268"/>
        <v>N</v>
      </c>
      <c r="Y246" s="773" t="str">
        <f t="shared" si="269"/>
        <v>A</v>
      </c>
      <c r="Z246" s="773" t="str">
        <f t="shared" si="279"/>
        <v>A</v>
      </c>
      <c r="AA246" s="773" t="str">
        <f t="shared" si="271"/>
        <v>A</v>
      </c>
      <c r="AB246" s="773" t="str">
        <f t="shared" si="284"/>
        <v>A</v>
      </c>
      <c r="AC246" s="773" t="str">
        <f t="shared" si="284"/>
        <v>A</v>
      </c>
      <c r="AD246" s="876"/>
      <c r="AE246" s="863"/>
      <c r="AF246" s="870"/>
      <c r="AG246" s="1019"/>
      <c r="AH246" s="802"/>
      <c r="AI246" s="803"/>
    </row>
    <row r="247" spans="1:51" hidden="1" outlineLevel="1" x14ac:dyDescent="0.3">
      <c r="A247" s="159"/>
      <c r="B247" s="790"/>
      <c r="C247" s="792" t="s">
        <v>550</v>
      </c>
      <c r="D247" s="793">
        <v>0</v>
      </c>
      <c r="E247" s="791">
        <v>0</v>
      </c>
      <c r="F247" s="794">
        <v>0</v>
      </c>
      <c r="G247" s="794">
        <f t="shared" si="258"/>
        <v>0.3</v>
      </c>
      <c r="H247" s="794"/>
      <c r="I247" s="794"/>
      <c r="J247" s="794"/>
      <c r="K247" s="794"/>
      <c r="L247" s="794">
        <f t="shared" ref="L247:M247" si="303">L233</f>
        <v>0.4</v>
      </c>
      <c r="M247" s="794">
        <f t="shared" si="303"/>
        <v>0.3</v>
      </c>
      <c r="N247" s="794">
        <f t="shared" si="274"/>
        <v>0.3</v>
      </c>
      <c r="O247" s="794"/>
      <c r="P247" s="794">
        <f t="shared" ref="P247:Q247" si="304">P219</f>
        <v>0.45</v>
      </c>
      <c r="Q247" s="794">
        <f t="shared" si="304"/>
        <v>0.3</v>
      </c>
      <c r="R247" s="794">
        <f t="shared" si="262"/>
        <v>0.25</v>
      </c>
      <c r="S247" s="794">
        <f t="shared" si="276"/>
        <v>0.25</v>
      </c>
      <c r="T247" s="794">
        <f t="shared" si="277"/>
        <v>0.25</v>
      </c>
      <c r="U247" s="794">
        <f t="shared" si="265"/>
        <v>0.3</v>
      </c>
      <c r="V247" s="794">
        <f t="shared" si="266"/>
        <v>0.5</v>
      </c>
      <c r="W247" s="794">
        <f t="shared" si="278"/>
        <v>0.3</v>
      </c>
      <c r="X247" s="794">
        <f t="shared" si="268"/>
        <v>0.3</v>
      </c>
      <c r="Y247" s="794">
        <f t="shared" si="269"/>
        <v>0.25</v>
      </c>
      <c r="Z247" s="794">
        <f t="shared" si="279"/>
        <v>0.25</v>
      </c>
      <c r="AA247" s="794">
        <f t="shared" si="271"/>
        <v>0.5</v>
      </c>
      <c r="AB247" s="794">
        <f t="shared" si="284"/>
        <v>0.25</v>
      </c>
      <c r="AC247" s="794">
        <f t="shared" si="284"/>
        <v>0.25</v>
      </c>
      <c r="AD247" s="877"/>
      <c r="AE247" s="864"/>
      <c r="AF247" s="871"/>
      <c r="AG247" s="1020"/>
      <c r="AH247" s="805"/>
      <c r="AI247" s="806"/>
    </row>
    <row r="248" spans="1:51" ht="44.4" customHeight="1" collapsed="1" x14ac:dyDescent="0.3">
      <c r="A248" s="159">
        <f ca="1">OFFSET(A248,-14,0)+1</f>
        <v>18</v>
      </c>
      <c r="B248" s="234" t="str">
        <f ca="1">'Procesy - AS IS'!B61</f>
        <v>Meranie č. 18</v>
      </c>
      <c r="C248" s="718" t="str">
        <f>'Procesy - AS IS'!C61</f>
        <v>SLOVMAS, a.s., Bratislava, Kontrola povinností rozšírenej zodpovednosti výrobcov, 3970/2017</v>
      </c>
      <c r="D248" s="796">
        <f>-'Procesy - AS IS'!D63*D261</f>
        <v>0</v>
      </c>
      <c r="E248" s="721">
        <f>-'Procesy - AS IS'!E63*E261</f>
        <v>0</v>
      </c>
      <c r="F248" s="721">
        <f>-'Procesy - AS IS'!F63*F261</f>
        <v>0</v>
      </c>
      <c r="G248" s="721">
        <f>-'Procesy - AS IS'!G63*G261</f>
        <v>-7.1999999999999993</v>
      </c>
      <c r="H248" s="721" t="s">
        <v>568</v>
      </c>
      <c r="I248" s="721" t="s">
        <v>568</v>
      </c>
      <c r="J248" s="721" t="s">
        <v>568</v>
      </c>
      <c r="K248" s="721" t="s">
        <v>568</v>
      </c>
      <c r="L248" s="721">
        <f>-'Procesy - AS IS'!L63*L261</f>
        <v>-0.2</v>
      </c>
      <c r="M248" s="721">
        <f>-'Procesy - AS IS'!M63*M261</f>
        <v>0</v>
      </c>
      <c r="N248" s="721">
        <f>-'Procesy - AS IS'!N63*N261</f>
        <v>0</v>
      </c>
      <c r="O248" s="721" t="s">
        <v>572</v>
      </c>
      <c r="P248" s="721">
        <f>-'Procesy - AS IS'!P63*P261</f>
        <v>-18</v>
      </c>
      <c r="Q248" s="721">
        <f>-'Procesy - AS IS'!Q63*Q261</f>
        <v>0</v>
      </c>
      <c r="R248" s="721">
        <f>-'Procesy - AS IS'!R63*R261</f>
        <v>-7.0116951203118694</v>
      </c>
      <c r="S248" s="721">
        <f>-'Procesy - AS IS'!S63*S261</f>
        <v>-12.98830487968813</v>
      </c>
      <c r="T248" s="721">
        <f>-'Procesy - AS IS'!T63*T261</f>
        <v>-2.1035085360935608</v>
      </c>
      <c r="U248" s="721">
        <f>-'Procesy - AS IS'!U63*U261</f>
        <v>-0.58447371958596583</v>
      </c>
      <c r="V248" s="721">
        <f>-'Procesy - AS IS'!V63*V261</f>
        <v>-0.25</v>
      </c>
      <c r="W248" s="721">
        <f>-'Procesy - AS IS'!W63*W261</f>
        <v>0</v>
      </c>
      <c r="X248" s="721">
        <f>-'Procesy - AS IS'!X63*X261</f>
        <v>0</v>
      </c>
      <c r="Y248" s="721">
        <f>-'Procesy - AS IS'!Y63*Y261</f>
        <v>0</v>
      </c>
      <c r="Z248" s="721">
        <f>-'Procesy - AS IS'!Z63*Z261</f>
        <v>0</v>
      </c>
      <c r="AA248" s="721">
        <f>-'Procesy - AS IS'!AA63*AA261</f>
        <v>0</v>
      </c>
      <c r="AB248" s="721">
        <f>-'Procesy - AS IS'!AB63*AB261</f>
        <v>0</v>
      </c>
      <c r="AC248" s="721">
        <f>-'Procesy - AS IS'!AC63*AC261</f>
        <v>0</v>
      </c>
      <c r="AD248" s="824">
        <f>SUM(D248:AC248)</f>
        <v>-48.337982255679528</v>
      </c>
      <c r="AE248" s="798">
        <f>AD248/'Procesy - AS IS'!AD63</f>
        <v>-0.31113074739993424</v>
      </c>
      <c r="AF248" s="869">
        <f>('Procesy - AS IS'!AG63/(1+$AE248)-'Procesy - AS IS'!AG63)/2</f>
        <v>19.421134108832625</v>
      </c>
      <c r="AG248" s="1018">
        <f>('Procesy - AS IS'!AH63/(1+$AE248)-'Procesy - AS IS'!AH63)/2</f>
        <v>6.8087535630912051</v>
      </c>
      <c r="AH248" s="800">
        <f>('Procesy - AS IS'!AI63/(1+$AE248)-'Procesy - AS IS'!AI63)/2</f>
        <v>4.064888534406828</v>
      </c>
      <c r="AI248" s="801">
        <f>('Procesy - AS IS'!AJ63/(1+$AE248)-'Procesy - AS IS'!AJ63)/2</f>
        <v>0.45165428160075871</v>
      </c>
      <c r="AK248" s="232"/>
      <c r="AY248" s="227"/>
    </row>
    <row r="249" spans="1:51" hidden="1" outlineLevel="1" x14ac:dyDescent="0.3">
      <c r="A249" s="159"/>
      <c r="B249" s="1190" t="s">
        <v>540</v>
      </c>
      <c r="C249" s="735" t="str">
        <f>'Optimalizačné opatrenia'!$B$2</f>
        <v>Modernizácia</v>
      </c>
      <c r="D249" s="773" t="s">
        <v>542</v>
      </c>
      <c r="E249" s="742" t="s">
        <v>542</v>
      </c>
      <c r="F249" s="773" t="s">
        <v>542</v>
      </c>
      <c r="G249" s="773" t="str">
        <f t="shared" si="258"/>
        <v>A</v>
      </c>
      <c r="H249" s="773"/>
      <c r="I249" s="773"/>
      <c r="J249" s="773"/>
      <c r="K249" s="773"/>
      <c r="L249" s="773" t="str">
        <f t="shared" ref="L249:M249" si="305">L235</f>
        <v>A</v>
      </c>
      <c r="M249" s="773" t="str">
        <f t="shared" si="305"/>
        <v>A</v>
      </c>
      <c r="N249" s="773" t="str">
        <f t="shared" ref="N249:N261" si="306">G249</f>
        <v>A</v>
      </c>
      <c r="O249" s="773"/>
      <c r="P249" s="773" t="str">
        <f t="shared" ref="P249:Q249" si="307">P221</f>
        <v>A</v>
      </c>
      <c r="Q249" s="773" t="str">
        <f t="shared" si="307"/>
        <v>A</v>
      </c>
      <c r="R249" s="773" t="str">
        <f t="shared" si="262"/>
        <v>A</v>
      </c>
      <c r="S249" s="773" t="str">
        <f t="shared" ref="S249:S261" si="308">R249</f>
        <v>A</v>
      </c>
      <c r="T249" s="773" t="str">
        <f t="shared" ref="T249:T261" si="309">R221</f>
        <v>A</v>
      </c>
      <c r="U249" s="773" t="str">
        <f t="shared" si="265"/>
        <v>A</v>
      </c>
      <c r="V249" s="773" t="str">
        <f t="shared" si="266"/>
        <v>A</v>
      </c>
      <c r="W249" s="773" t="str">
        <f t="shared" ref="W249:W261" si="310">W35</f>
        <v>A</v>
      </c>
      <c r="X249" s="773" t="str">
        <f t="shared" si="268"/>
        <v>A</v>
      </c>
      <c r="Y249" s="773" t="str">
        <f t="shared" si="269"/>
        <v>A</v>
      </c>
      <c r="Z249" s="773" t="str">
        <f t="shared" ref="Z249:Z261" si="311">R221</f>
        <v>A</v>
      </c>
      <c r="AA249" s="773" t="str">
        <f t="shared" si="271"/>
        <v>A</v>
      </c>
      <c r="AB249" s="773" t="str">
        <f t="shared" ref="AB249:AC261" si="312">$R249</f>
        <v>A</v>
      </c>
      <c r="AC249" s="773" t="str">
        <f t="shared" si="312"/>
        <v>A</v>
      </c>
      <c r="AD249" s="876"/>
      <c r="AE249" s="863"/>
      <c r="AF249" s="870"/>
      <c r="AG249" s="1019"/>
      <c r="AH249" s="802"/>
      <c r="AI249" s="803"/>
    </row>
    <row r="250" spans="1:51" hidden="1" outlineLevel="1" x14ac:dyDescent="0.3">
      <c r="A250" s="159"/>
      <c r="B250" s="1191"/>
      <c r="C250" s="735" t="str">
        <f>'Optimalizačné opatrenia'!$B$3</f>
        <v>Sfunkčnenie</v>
      </c>
      <c r="D250" s="788" t="s">
        <v>542</v>
      </c>
      <c r="E250" s="773" t="s">
        <v>542</v>
      </c>
      <c r="F250" s="773" t="s">
        <v>542</v>
      </c>
      <c r="G250" s="773" t="str">
        <f t="shared" si="258"/>
        <v>N</v>
      </c>
      <c r="H250" s="773"/>
      <c r="I250" s="773"/>
      <c r="J250" s="773"/>
      <c r="K250" s="773"/>
      <c r="L250" s="773" t="str">
        <f t="shared" ref="L250:M250" si="313">L236</f>
        <v>N</v>
      </c>
      <c r="M250" s="773" t="str">
        <f t="shared" si="313"/>
        <v>N</v>
      </c>
      <c r="N250" s="773" t="str">
        <f t="shared" si="306"/>
        <v>N</v>
      </c>
      <c r="O250" s="773"/>
      <c r="P250" s="773" t="str">
        <f t="shared" ref="P250:Q250" si="314">P222</f>
        <v>N</v>
      </c>
      <c r="Q250" s="773" t="str">
        <f t="shared" si="314"/>
        <v>N</v>
      </c>
      <c r="R250" s="773" t="str">
        <f t="shared" si="262"/>
        <v>N</v>
      </c>
      <c r="S250" s="773" t="str">
        <f t="shared" si="308"/>
        <v>N</v>
      </c>
      <c r="T250" s="773" t="str">
        <f t="shared" si="309"/>
        <v>N</v>
      </c>
      <c r="U250" s="773" t="str">
        <f t="shared" si="265"/>
        <v>N</v>
      </c>
      <c r="V250" s="773" t="str">
        <f t="shared" si="266"/>
        <v>N</v>
      </c>
      <c r="W250" s="773" t="str">
        <f t="shared" si="310"/>
        <v>N</v>
      </c>
      <c r="X250" s="773" t="str">
        <f t="shared" si="268"/>
        <v>N</v>
      </c>
      <c r="Y250" s="773" t="str">
        <f t="shared" si="269"/>
        <v>N</v>
      </c>
      <c r="Z250" s="773" t="str">
        <f t="shared" si="311"/>
        <v>N</v>
      </c>
      <c r="AA250" s="773" t="str">
        <f t="shared" si="271"/>
        <v>N</v>
      </c>
      <c r="AB250" s="773" t="str">
        <f t="shared" si="312"/>
        <v>N</v>
      </c>
      <c r="AC250" s="773" t="str">
        <f t="shared" si="312"/>
        <v>N</v>
      </c>
      <c r="AD250" s="876"/>
      <c r="AE250" s="863"/>
      <c r="AF250" s="870"/>
      <c r="AG250" s="1019"/>
      <c r="AH250" s="802"/>
      <c r="AI250" s="803"/>
    </row>
    <row r="251" spans="1:51" hidden="1" outlineLevel="1" x14ac:dyDescent="0.3">
      <c r="A251" s="159"/>
      <c r="B251" s="1191"/>
      <c r="C251" s="735" t="str">
        <f>'Optimalizačné opatrenia'!$B$4</f>
        <v>Zjednotenie</v>
      </c>
      <c r="D251" s="788" t="s">
        <v>542</v>
      </c>
      <c r="E251" s="773" t="s">
        <v>542</v>
      </c>
      <c r="F251" s="773" t="s">
        <v>542</v>
      </c>
      <c r="G251" s="773" t="str">
        <f t="shared" si="258"/>
        <v>A</v>
      </c>
      <c r="H251" s="773"/>
      <c r="I251" s="773"/>
      <c r="J251" s="773"/>
      <c r="K251" s="773"/>
      <c r="L251" s="773" t="str">
        <f t="shared" ref="L251:M251" si="315">L237</f>
        <v>A</v>
      </c>
      <c r="M251" s="773" t="str">
        <f t="shared" si="315"/>
        <v>A</v>
      </c>
      <c r="N251" s="773" t="str">
        <f t="shared" si="306"/>
        <v>A</v>
      </c>
      <c r="O251" s="773"/>
      <c r="P251" s="773" t="str">
        <f t="shared" ref="P251:Q251" si="316">P223</f>
        <v>A</v>
      </c>
      <c r="Q251" s="773" t="str">
        <f t="shared" si="316"/>
        <v>A</v>
      </c>
      <c r="R251" s="773" t="str">
        <f t="shared" si="262"/>
        <v>A</v>
      </c>
      <c r="S251" s="773" t="str">
        <f t="shared" si="308"/>
        <v>A</v>
      </c>
      <c r="T251" s="773" t="str">
        <f t="shared" si="309"/>
        <v>A</v>
      </c>
      <c r="U251" s="773" t="str">
        <f t="shared" si="265"/>
        <v>A</v>
      </c>
      <c r="V251" s="773" t="str">
        <f t="shared" si="266"/>
        <v>A</v>
      </c>
      <c r="W251" s="773" t="str">
        <f t="shared" si="310"/>
        <v>A</v>
      </c>
      <c r="X251" s="773" t="str">
        <f t="shared" si="268"/>
        <v>A</v>
      </c>
      <c r="Y251" s="773" t="str">
        <f t="shared" si="269"/>
        <v>A</v>
      </c>
      <c r="Z251" s="773" t="str">
        <f t="shared" si="311"/>
        <v>A</v>
      </c>
      <c r="AA251" s="773" t="str">
        <f t="shared" si="271"/>
        <v>A</v>
      </c>
      <c r="AB251" s="773" t="str">
        <f t="shared" si="312"/>
        <v>A</v>
      </c>
      <c r="AC251" s="773" t="str">
        <f t="shared" si="312"/>
        <v>A</v>
      </c>
      <c r="AD251" s="876"/>
      <c r="AE251" s="863"/>
      <c r="AF251" s="870"/>
      <c r="AG251" s="1019"/>
      <c r="AH251" s="802"/>
      <c r="AI251" s="803"/>
    </row>
    <row r="252" spans="1:51" hidden="1" outlineLevel="1" x14ac:dyDescent="0.3">
      <c r="A252" s="159"/>
      <c r="B252" s="1191"/>
      <c r="C252" s="735" t="str">
        <f>'Optimalizačné opatrenia'!$B$5</f>
        <v>Centralizácia</v>
      </c>
      <c r="D252" s="788" t="s">
        <v>542</v>
      </c>
      <c r="E252" s="773" t="s">
        <v>542</v>
      </c>
      <c r="F252" s="773" t="s">
        <v>542</v>
      </c>
      <c r="G252" s="773" t="str">
        <f t="shared" si="258"/>
        <v>A</v>
      </c>
      <c r="H252" s="773"/>
      <c r="I252" s="773"/>
      <c r="J252" s="773"/>
      <c r="K252" s="773"/>
      <c r="L252" s="773" t="str">
        <f t="shared" ref="L252:M252" si="317">L238</f>
        <v>A</v>
      </c>
      <c r="M252" s="773" t="str">
        <f t="shared" si="317"/>
        <v>A</v>
      </c>
      <c r="N252" s="773" t="str">
        <f t="shared" si="306"/>
        <v>A</v>
      </c>
      <c r="O252" s="773"/>
      <c r="P252" s="773" t="str">
        <f t="shared" ref="P252:Q252" si="318">P224</f>
        <v>A</v>
      </c>
      <c r="Q252" s="773" t="str">
        <f t="shared" si="318"/>
        <v>A</v>
      </c>
      <c r="R252" s="773" t="str">
        <f t="shared" si="262"/>
        <v>A</v>
      </c>
      <c r="S252" s="773" t="str">
        <f t="shared" si="308"/>
        <v>A</v>
      </c>
      <c r="T252" s="773" t="str">
        <f t="shared" si="309"/>
        <v>A</v>
      </c>
      <c r="U252" s="773" t="str">
        <f t="shared" si="265"/>
        <v>A</v>
      </c>
      <c r="V252" s="773" t="str">
        <f t="shared" si="266"/>
        <v>A</v>
      </c>
      <c r="W252" s="773" t="str">
        <f t="shared" si="310"/>
        <v>A</v>
      </c>
      <c r="X252" s="773" t="str">
        <f t="shared" si="268"/>
        <v>A</v>
      </c>
      <c r="Y252" s="773" t="str">
        <f t="shared" si="269"/>
        <v>A</v>
      </c>
      <c r="Z252" s="773" t="str">
        <f t="shared" si="311"/>
        <v>A</v>
      </c>
      <c r="AA252" s="773" t="str">
        <f t="shared" si="271"/>
        <v>A</v>
      </c>
      <c r="AB252" s="773" t="str">
        <f t="shared" si="312"/>
        <v>A</v>
      </c>
      <c r="AC252" s="773" t="str">
        <f t="shared" si="312"/>
        <v>A</v>
      </c>
      <c r="AD252" s="876"/>
      <c r="AE252" s="863"/>
      <c r="AF252" s="870"/>
      <c r="AG252" s="1019"/>
      <c r="AH252" s="802"/>
      <c r="AI252" s="803"/>
    </row>
    <row r="253" spans="1:51" hidden="1" outlineLevel="1" x14ac:dyDescent="0.3">
      <c r="A253" s="159"/>
      <c r="B253" s="1191"/>
      <c r="C253" s="735" t="str">
        <f>'Optimalizačné opatrenia'!$B$6</f>
        <v>Elektronizácia</v>
      </c>
      <c r="D253" s="788" t="s">
        <v>542</v>
      </c>
      <c r="E253" s="773" t="s">
        <v>542</v>
      </c>
      <c r="F253" s="773" t="s">
        <v>542</v>
      </c>
      <c r="G253" s="773" t="str">
        <f t="shared" si="258"/>
        <v>A</v>
      </c>
      <c r="H253" s="773"/>
      <c r="I253" s="773"/>
      <c r="J253" s="773"/>
      <c r="K253" s="773"/>
      <c r="L253" s="773" t="str">
        <f t="shared" ref="L253:M253" si="319">L239</f>
        <v>A</v>
      </c>
      <c r="M253" s="773" t="str">
        <f t="shared" si="319"/>
        <v>A</v>
      </c>
      <c r="N253" s="773" t="str">
        <f t="shared" si="306"/>
        <v>A</v>
      </c>
      <c r="O253" s="773"/>
      <c r="P253" s="773" t="str">
        <f t="shared" ref="P253:Q253" si="320">P225</f>
        <v>A</v>
      </c>
      <c r="Q253" s="773" t="str">
        <f t="shared" si="320"/>
        <v>A</v>
      </c>
      <c r="R253" s="773" t="str">
        <f t="shared" si="262"/>
        <v>A</v>
      </c>
      <c r="S253" s="773" t="str">
        <f t="shared" si="308"/>
        <v>A</v>
      </c>
      <c r="T253" s="773" t="str">
        <f t="shared" si="309"/>
        <v>A</v>
      </c>
      <c r="U253" s="773" t="str">
        <f t="shared" si="265"/>
        <v>A</v>
      </c>
      <c r="V253" s="773" t="str">
        <f t="shared" si="266"/>
        <v>A</v>
      </c>
      <c r="W253" s="773" t="str">
        <f t="shared" si="310"/>
        <v>A</v>
      </c>
      <c r="X253" s="773" t="str">
        <f t="shared" si="268"/>
        <v>A</v>
      </c>
      <c r="Y253" s="773" t="str">
        <f t="shared" si="269"/>
        <v>A</v>
      </c>
      <c r="Z253" s="773" t="str">
        <f t="shared" si="311"/>
        <v>A</v>
      </c>
      <c r="AA253" s="773" t="str">
        <f t="shared" si="271"/>
        <v>A</v>
      </c>
      <c r="AB253" s="773" t="str">
        <f t="shared" si="312"/>
        <v>A</v>
      </c>
      <c r="AC253" s="773" t="str">
        <f t="shared" si="312"/>
        <v>A</v>
      </c>
      <c r="AD253" s="876"/>
      <c r="AE253" s="863"/>
      <c r="AF253" s="870"/>
      <c r="AG253" s="1019"/>
      <c r="AH253" s="802"/>
      <c r="AI253" s="803"/>
    </row>
    <row r="254" spans="1:51" hidden="1" outlineLevel="1" x14ac:dyDescent="0.3">
      <c r="A254" s="159"/>
      <c r="B254" s="1191"/>
      <c r="C254" s="735" t="str">
        <f>'Optimalizačné opatrenia'!$B$7</f>
        <v>Automatizácia</v>
      </c>
      <c r="D254" s="788" t="s">
        <v>542</v>
      </c>
      <c r="E254" s="773" t="s">
        <v>542</v>
      </c>
      <c r="F254" s="773" t="s">
        <v>542</v>
      </c>
      <c r="G254" s="773" t="str">
        <f t="shared" si="258"/>
        <v>A</v>
      </c>
      <c r="H254" s="773"/>
      <c r="I254" s="773"/>
      <c r="J254" s="773"/>
      <c r="K254" s="773"/>
      <c r="L254" s="773" t="str">
        <f t="shared" ref="L254:M254" si="321">L240</f>
        <v>A</v>
      </c>
      <c r="M254" s="773" t="str">
        <f t="shared" si="321"/>
        <v>A</v>
      </c>
      <c r="N254" s="773" t="str">
        <f t="shared" si="306"/>
        <v>A</v>
      </c>
      <c r="O254" s="773"/>
      <c r="P254" s="773" t="str">
        <f t="shared" ref="P254:Q254" si="322">P226</f>
        <v>A</v>
      </c>
      <c r="Q254" s="773" t="str">
        <f t="shared" si="322"/>
        <v>A</v>
      </c>
      <c r="R254" s="773" t="str">
        <f t="shared" si="262"/>
        <v>A</v>
      </c>
      <c r="S254" s="773" t="str">
        <f t="shared" si="308"/>
        <v>A</v>
      </c>
      <c r="T254" s="773" t="str">
        <f t="shared" si="309"/>
        <v>A</v>
      </c>
      <c r="U254" s="773" t="str">
        <f t="shared" si="265"/>
        <v>A</v>
      </c>
      <c r="V254" s="773" t="str">
        <f t="shared" si="266"/>
        <v>A</v>
      </c>
      <c r="W254" s="773" t="str">
        <f t="shared" si="310"/>
        <v>A</v>
      </c>
      <c r="X254" s="773" t="str">
        <f t="shared" si="268"/>
        <v>A</v>
      </c>
      <c r="Y254" s="773" t="str">
        <f t="shared" si="269"/>
        <v>A</v>
      </c>
      <c r="Z254" s="773" t="str">
        <f t="shared" si="311"/>
        <v>A</v>
      </c>
      <c r="AA254" s="773" t="str">
        <f t="shared" si="271"/>
        <v>A</v>
      </c>
      <c r="AB254" s="773" t="str">
        <f t="shared" si="312"/>
        <v>A</v>
      </c>
      <c r="AC254" s="773" t="str">
        <f t="shared" si="312"/>
        <v>A</v>
      </c>
      <c r="AD254" s="876"/>
      <c r="AE254" s="863"/>
      <c r="AF254" s="870"/>
      <c r="AG254" s="1019"/>
      <c r="AH254" s="802"/>
      <c r="AI254" s="803"/>
    </row>
    <row r="255" spans="1:51" hidden="1" outlineLevel="1" x14ac:dyDescent="0.3">
      <c r="A255" s="159"/>
      <c r="B255" s="1191"/>
      <c r="C255" s="735" t="str">
        <f>'Optimalizačné opatrenia'!$B$8</f>
        <v>Bezpečnosť</v>
      </c>
      <c r="D255" s="788" t="s">
        <v>542</v>
      </c>
      <c r="E255" s="773" t="s">
        <v>542</v>
      </c>
      <c r="F255" s="773" t="s">
        <v>542</v>
      </c>
      <c r="G255" s="773" t="str">
        <f t="shared" si="258"/>
        <v>A</v>
      </c>
      <c r="H255" s="773"/>
      <c r="I255" s="773"/>
      <c r="J255" s="773"/>
      <c r="K255" s="773"/>
      <c r="L255" s="773" t="str">
        <f t="shared" ref="L255:M255" si="323">L241</f>
        <v>A</v>
      </c>
      <c r="M255" s="773" t="str">
        <f t="shared" si="323"/>
        <v>A</v>
      </c>
      <c r="N255" s="773" t="str">
        <f t="shared" si="306"/>
        <v>A</v>
      </c>
      <c r="O255" s="773"/>
      <c r="P255" s="773" t="str">
        <f t="shared" ref="P255:Q255" si="324">P227</f>
        <v>A</v>
      </c>
      <c r="Q255" s="773" t="str">
        <f t="shared" si="324"/>
        <v>A</v>
      </c>
      <c r="R255" s="773" t="str">
        <f t="shared" si="262"/>
        <v>A</v>
      </c>
      <c r="S255" s="773" t="str">
        <f t="shared" si="308"/>
        <v>A</v>
      </c>
      <c r="T255" s="773" t="str">
        <f t="shared" si="309"/>
        <v>A</v>
      </c>
      <c r="U255" s="773" t="str">
        <f t="shared" si="265"/>
        <v>A</v>
      </c>
      <c r="V255" s="773" t="str">
        <f t="shared" si="266"/>
        <v>A</v>
      </c>
      <c r="W255" s="773" t="str">
        <f t="shared" si="310"/>
        <v>A</v>
      </c>
      <c r="X255" s="773" t="str">
        <f t="shared" si="268"/>
        <v>A</v>
      </c>
      <c r="Y255" s="773" t="str">
        <f t="shared" si="269"/>
        <v>A</v>
      </c>
      <c r="Z255" s="773" t="str">
        <f t="shared" si="311"/>
        <v>A</v>
      </c>
      <c r="AA255" s="773" t="str">
        <f t="shared" si="271"/>
        <v>A</v>
      </c>
      <c r="AB255" s="773" t="str">
        <f t="shared" si="312"/>
        <v>A</v>
      </c>
      <c r="AC255" s="773" t="str">
        <f t="shared" si="312"/>
        <v>A</v>
      </c>
      <c r="AD255" s="876"/>
      <c r="AE255" s="863"/>
      <c r="AF255" s="870"/>
      <c r="AG255" s="1019"/>
      <c r="AH255" s="802"/>
      <c r="AI255" s="803"/>
    </row>
    <row r="256" spans="1:51" hidden="1" outlineLevel="1" x14ac:dyDescent="0.3">
      <c r="A256" s="159"/>
      <c r="B256" s="1191"/>
      <c r="C256" s="735" t="str">
        <f>'Optimalizačné opatrenia'!$B$9</f>
        <v>Auditovateľnosť</v>
      </c>
      <c r="D256" s="788" t="s">
        <v>542</v>
      </c>
      <c r="E256" s="773" t="s">
        <v>542</v>
      </c>
      <c r="F256" s="773" t="s">
        <v>542</v>
      </c>
      <c r="G256" s="773" t="str">
        <f t="shared" si="258"/>
        <v>A</v>
      </c>
      <c r="H256" s="773"/>
      <c r="I256" s="773"/>
      <c r="J256" s="773"/>
      <c r="K256" s="773"/>
      <c r="L256" s="773" t="str">
        <f t="shared" ref="L256:M256" si="325">L242</f>
        <v>A</v>
      </c>
      <c r="M256" s="773" t="str">
        <f t="shared" si="325"/>
        <v>A</v>
      </c>
      <c r="N256" s="773" t="str">
        <f t="shared" si="306"/>
        <v>A</v>
      </c>
      <c r="O256" s="773"/>
      <c r="P256" s="773" t="str">
        <f t="shared" ref="P256:Q256" si="326">P228</f>
        <v>A</v>
      </c>
      <c r="Q256" s="773" t="str">
        <f t="shared" si="326"/>
        <v>A</v>
      </c>
      <c r="R256" s="773" t="str">
        <f t="shared" si="262"/>
        <v>N</v>
      </c>
      <c r="S256" s="773" t="str">
        <f t="shared" si="308"/>
        <v>N</v>
      </c>
      <c r="T256" s="773" t="str">
        <f t="shared" si="309"/>
        <v>N</v>
      </c>
      <c r="U256" s="773" t="str">
        <f t="shared" si="265"/>
        <v>A</v>
      </c>
      <c r="V256" s="773" t="str">
        <f t="shared" si="266"/>
        <v>A</v>
      </c>
      <c r="W256" s="773" t="str">
        <f t="shared" si="310"/>
        <v>A</v>
      </c>
      <c r="X256" s="773" t="str">
        <f t="shared" si="268"/>
        <v>A</v>
      </c>
      <c r="Y256" s="773" t="str">
        <f t="shared" si="269"/>
        <v>N</v>
      </c>
      <c r="Z256" s="773" t="str">
        <f t="shared" si="311"/>
        <v>N</v>
      </c>
      <c r="AA256" s="773" t="str">
        <f t="shared" si="271"/>
        <v>A</v>
      </c>
      <c r="AB256" s="773" t="str">
        <f t="shared" si="312"/>
        <v>N</v>
      </c>
      <c r="AC256" s="773" t="str">
        <f t="shared" si="312"/>
        <v>N</v>
      </c>
      <c r="AD256" s="876"/>
      <c r="AE256" s="863"/>
      <c r="AF256" s="870"/>
      <c r="AG256" s="1019"/>
      <c r="AH256" s="802"/>
      <c r="AI256" s="803"/>
    </row>
    <row r="257" spans="1:51" hidden="1" outlineLevel="1" x14ac:dyDescent="0.3">
      <c r="A257" s="159"/>
      <c r="B257" s="1191"/>
      <c r="C257" s="735" t="str">
        <f>'Optimalizačné opatrenia'!$B$10</f>
        <v>Transparentnosť</v>
      </c>
      <c r="D257" s="788" t="s">
        <v>542</v>
      </c>
      <c r="E257" s="773" t="s">
        <v>542</v>
      </c>
      <c r="F257" s="773" t="s">
        <v>542</v>
      </c>
      <c r="G257" s="773" t="str">
        <f t="shared" si="258"/>
        <v>N</v>
      </c>
      <c r="H257" s="773"/>
      <c r="I257" s="773"/>
      <c r="J257" s="773"/>
      <c r="K257" s="773"/>
      <c r="L257" s="773" t="str">
        <f t="shared" ref="L257:M257" si="327">L243</f>
        <v>N</v>
      </c>
      <c r="M257" s="773" t="str">
        <f t="shared" si="327"/>
        <v>N</v>
      </c>
      <c r="N257" s="773" t="str">
        <f t="shared" si="306"/>
        <v>N</v>
      </c>
      <c r="O257" s="773"/>
      <c r="P257" s="773" t="str">
        <f t="shared" ref="P257:Q257" si="328">P229</f>
        <v>A</v>
      </c>
      <c r="Q257" s="773" t="str">
        <f t="shared" si="328"/>
        <v>N</v>
      </c>
      <c r="R257" s="773" t="str">
        <f t="shared" si="262"/>
        <v>N</v>
      </c>
      <c r="S257" s="773" t="str">
        <f t="shared" si="308"/>
        <v>N</v>
      </c>
      <c r="T257" s="773" t="str">
        <f t="shared" si="309"/>
        <v>N</v>
      </c>
      <c r="U257" s="773" t="str">
        <f t="shared" si="265"/>
        <v>N</v>
      </c>
      <c r="V257" s="773" t="str">
        <f t="shared" si="266"/>
        <v>A</v>
      </c>
      <c r="W257" s="773" t="str">
        <f t="shared" si="310"/>
        <v>N</v>
      </c>
      <c r="X257" s="773" t="str">
        <f t="shared" si="268"/>
        <v>N</v>
      </c>
      <c r="Y257" s="773" t="str">
        <f t="shared" si="269"/>
        <v>N</v>
      </c>
      <c r="Z257" s="773" t="str">
        <f t="shared" si="311"/>
        <v>N</v>
      </c>
      <c r="AA257" s="773" t="str">
        <f t="shared" si="271"/>
        <v>A</v>
      </c>
      <c r="AB257" s="773" t="str">
        <f t="shared" si="312"/>
        <v>N</v>
      </c>
      <c r="AC257" s="773" t="str">
        <f t="shared" si="312"/>
        <v>N</v>
      </c>
      <c r="AD257" s="876"/>
      <c r="AE257" s="863"/>
      <c r="AF257" s="870"/>
      <c r="AG257" s="1019"/>
      <c r="AH257" s="802"/>
      <c r="AI257" s="803"/>
    </row>
    <row r="258" spans="1:51" hidden="1" outlineLevel="1" x14ac:dyDescent="0.3">
      <c r="A258" s="159"/>
      <c r="B258" s="1191"/>
      <c r="C258" s="735" t="str">
        <f>'Optimalizačné opatrenia'!$B$11</f>
        <v>Analyzovatelnosť</v>
      </c>
      <c r="D258" s="788" t="s">
        <v>542</v>
      </c>
      <c r="E258" s="773" t="s">
        <v>542</v>
      </c>
      <c r="F258" s="773" t="s">
        <v>542</v>
      </c>
      <c r="G258" s="773" t="str">
        <f t="shared" si="258"/>
        <v>A</v>
      </c>
      <c r="H258" s="773"/>
      <c r="I258" s="773"/>
      <c r="J258" s="773"/>
      <c r="K258" s="773"/>
      <c r="L258" s="773" t="str">
        <f t="shared" ref="L258:M258" si="329">L244</f>
        <v>A</v>
      </c>
      <c r="M258" s="773" t="str">
        <f t="shared" si="329"/>
        <v>A</v>
      </c>
      <c r="N258" s="773" t="str">
        <f t="shared" si="306"/>
        <v>A</v>
      </c>
      <c r="O258" s="773"/>
      <c r="P258" s="773" t="str">
        <f t="shared" ref="P258:Q258" si="330">P230</f>
        <v>A</v>
      </c>
      <c r="Q258" s="773" t="str">
        <f t="shared" si="330"/>
        <v>A</v>
      </c>
      <c r="R258" s="773" t="str">
        <f t="shared" si="262"/>
        <v>N</v>
      </c>
      <c r="S258" s="773" t="str">
        <f t="shared" si="308"/>
        <v>N</v>
      </c>
      <c r="T258" s="773" t="str">
        <f t="shared" si="309"/>
        <v>N</v>
      </c>
      <c r="U258" s="773" t="str">
        <f t="shared" si="265"/>
        <v>A</v>
      </c>
      <c r="V258" s="773" t="str">
        <f t="shared" si="266"/>
        <v>A</v>
      </c>
      <c r="W258" s="773" t="str">
        <f t="shared" si="310"/>
        <v>A</v>
      </c>
      <c r="X258" s="773" t="str">
        <f t="shared" si="268"/>
        <v>A</v>
      </c>
      <c r="Y258" s="773" t="str">
        <f t="shared" si="269"/>
        <v>N</v>
      </c>
      <c r="Z258" s="773" t="str">
        <f t="shared" si="311"/>
        <v>N</v>
      </c>
      <c r="AA258" s="773" t="str">
        <f t="shared" si="271"/>
        <v>A</v>
      </c>
      <c r="AB258" s="773" t="str">
        <f t="shared" si="312"/>
        <v>N</v>
      </c>
      <c r="AC258" s="773" t="str">
        <f t="shared" si="312"/>
        <v>N</v>
      </c>
      <c r="AD258" s="876"/>
      <c r="AE258" s="863"/>
      <c r="AF258" s="870"/>
      <c r="AG258" s="1019"/>
      <c r="AH258" s="802"/>
      <c r="AI258" s="803"/>
    </row>
    <row r="259" spans="1:51" hidden="1" outlineLevel="1" x14ac:dyDescent="0.3">
      <c r="A259" s="159"/>
      <c r="B259" s="1191"/>
      <c r="C259" s="735" t="str">
        <f>'Optimalizačné opatrenia'!$B$12</f>
        <v>Integrácia</v>
      </c>
      <c r="D259" s="788" t="s">
        <v>542</v>
      </c>
      <c r="E259" s="773" t="s">
        <v>542</v>
      </c>
      <c r="F259" s="773" t="s">
        <v>542</v>
      </c>
      <c r="G259" s="773" t="str">
        <f t="shared" si="258"/>
        <v>A</v>
      </c>
      <c r="H259" s="773"/>
      <c r="I259" s="773"/>
      <c r="J259" s="773"/>
      <c r="K259" s="773"/>
      <c r="L259" s="773" t="str">
        <f t="shared" ref="L259:M259" si="331">L245</f>
        <v>A</v>
      </c>
      <c r="M259" s="773" t="str">
        <f t="shared" si="331"/>
        <v>A</v>
      </c>
      <c r="N259" s="773" t="str">
        <f t="shared" si="306"/>
        <v>A</v>
      </c>
      <c r="O259" s="773"/>
      <c r="P259" s="773" t="str">
        <f t="shared" ref="P259:Q259" si="332">P231</f>
        <v>A</v>
      </c>
      <c r="Q259" s="773" t="str">
        <f t="shared" si="332"/>
        <v>A</v>
      </c>
      <c r="R259" s="773" t="str">
        <f t="shared" si="262"/>
        <v>A</v>
      </c>
      <c r="S259" s="773" t="str">
        <f t="shared" si="308"/>
        <v>A</v>
      </c>
      <c r="T259" s="773" t="str">
        <f t="shared" si="309"/>
        <v>A</v>
      </c>
      <c r="U259" s="773" t="str">
        <f t="shared" si="265"/>
        <v>A</v>
      </c>
      <c r="V259" s="773" t="str">
        <f t="shared" si="266"/>
        <v>A</v>
      </c>
      <c r="W259" s="773" t="str">
        <f t="shared" si="310"/>
        <v>A</v>
      </c>
      <c r="X259" s="773" t="str">
        <f t="shared" si="268"/>
        <v>A</v>
      </c>
      <c r="Y259" s="773" t="str">
        <f t="shared" si="269"/>
        <v>A</v>
      </c>
      <c r="Z259" s="773" t="str">
        <f t="shared" si="311"/>
        <v>A</v>
      </c>
      <c r="AA259" s="773" t="str">
        <f t="shared" si="271"/>
        <v>A</v>
      </c>
      <c r="AB259" s="773" t="str">
        <f t="shared" si="312"/>
        <v>A</v>
      </c>
      <c r="AC259" s="773" t="str">
        <f t="shared" si="312"/>
        <v>A</v>
      </c>
      <c r="AD259" s="876"/>
      <c r="AE259" s="863"/>
      <c r="AF259" s="870"/>
      <c r="AG259" s="1019"/>
      <c r="AH259" s="802"/>
      <c r="AI259" s="803"/>
    </row>
    <row r="260" spans="1:51" hidden="1" outlineLevel="1" x14ac:dyDescent="0.3">
      <c r="A260" s="159"/>
      <c r="B260" s="1191"/>
      <c r="C260" s="740" t="str">
        <f>'Optimalizačné opatrenia'!$B$13</f>
        <v>Proaktivita</v>
      </c>
      <c r="D260" s="788" t="s">
        <v>542</v>
      </c>
      <c r="E260" s="773" t="s">
        <v>542</v>
      </c>
      <c r="F260" s="773" t="s">
        <v>542</v>
      </c>
      <c r="G260" s="773" t="str">
        <f t="shared" si="258"/>
        <v>N</v>
      </c>
      <c r="H260" s="773"/>
      <c r="I260" s="773"/>
      <c r="J260" s="773"/>
      <c r="K260" s="773"/>
      <c r="L260" s="773" t="str">
        <f t="shared" ref="L260:M260" si="333">L246</f>
        <v>A</v>
      </c>
      <c r="M260" s="773" t="str">
        <f t="shared" si="333"/>
        <v>N</v>
      </c>
      <c r="N260" s="773" t="str">
        <f t="shared" si="306"/>
        <v>N</v>
      </c>
      <c r="O260" s="773"/>
      <c r="P260" s="773" t="str">
        <f t="shared" ref="P260:Q260" si="334">P232</f>
        <v>N</v>
      </c>
      <c r="Q260" s="773" t="str">
        <f t="shared" si="334"/>
        <v>N</v>
      </c>
      <c r="R260" s="773" t="str">
        <f t="shared" si="262"/>
        <v>A</v>
      </c>
      <c r="S260" s="773" t="str">
        <f t="shared" si="308"/>
        <v>A</v>
      </c>
      <c r="T260" s="773" t="str">
        <f t="shared" si="309"/>
        <v>A</v>
      </c>
      <c r="U260" s="773" t="str">
        <f t="shared" si="265"/>
        <v>N</v>
      </c>
      <c r="V260" s="773" t="str">
        <f t="shared" si="266"/>
        <v>A</v>
      </c>
      <c r="W260" s="773" t="str">
        <f t="shared" si="310"/>
        <v>N</v>
      </c>
      <c r="X260" s="773" t="str">
        <f t="shared" si="268"/>
        <v>N</v>
      </c>
      <c r="Y260" s="773" t="str">
        <f t="shared" si="269"/>
        <v>A</v>
      </c>
      <c r="Z260" s="773" t="str">
        <f t="shared" si="311"/>
        <v>A</v>
      </c>
      <c r="AA260" s="773" t="str">
        <f t="shared" si="271"/>
        <v>A</v>
      </c>
      <c r="AB260" s="773" t="str">
        <f t="shared" si="312"/>
        <v>A</v>
      </c>
      <c r="AC260" s="773" t="str">
        <f t="shared" si="312"/>
        <v>A</v>
      </c>
      <c r="AD260" s="876"/>
      <c r="AE260" s="863"/>
      <c r="AF260" s="870"/>
      <c r="AG260" s="1019"/>
      <c r="AH260" s="802"/>
      <c r="AI260" s="803"/>
    </row>
    <row r="261" spans="1:51" hidden="1" outlineLevel="1" x14ac:dyDescent="0.3">
      <c r="A261" s="159"/>
      <c r="B261" s="790"/>
      <c r="C261" s="792" t="s">
        <v>550</v>
      </c>
      <c r="D261" s="793">
        <v>0</v>
      </c>
      <c r="E261" s="791">
        <v>0</v>
      </c>
      <c r="F261" s="794">
        <v>0</v>
      </c>
      <c r="G261" s="794">
        <f t="shared" si="258"/>
        <v>0.3</v>
      </c>
      <c r="H261" s="794"/>
      <c r="I261" s="794"/>
      <c r="J261" s="794"/>
      <c r="K261" s="794"/>
      <c r="L261" s="794">
        <f t="shared" ref="L261:M261" si="335">L247</f>
        <v>0.4</v>
      </c>
      <c r="M261" s="794">
        <f t="shared" si="335"/>
        <v>0.3</v>
      </c>
      <c r="N261" s="794">
        <f t="shared" si="306"/>
        <v>0.3</v>
      </c>
      <c r="O261" s="794"/>
      <c r="P261" s="794">
        <f t="shared" ref="P261:Q261" si="336">P233</f>
        <v>0.45</v>
      </c>
      <c r="Q261" s="794">
        <f t="shared" si="336"/>
        <v>0.3</v>
      </c>
      <c r="R261" s="794">
        <f t="shared" si="262"/>
        <v>0.25</v>
      </c>
      <c r="S261" s="794">
        <f t="shared" si="308"/>
        <v>0.25</v>
      </c>
      <c r="T261" s="794">
        <f t="shared" si="309"/>
        <v>0.25</v>
      </c>
      <c r="U261" s="794">
        <f t="shared" si="265"/>
        <v>0.3</v>
      </c>
      <c r="V261" s="794">
        <f t="shared" si="266"/>
        <v>0.5</v>
      </c>
      <c r="W261" s="794">
        <f t="shared" si="310"/>
        <v>0.3</v>
      </c>
      <c r="X261" s="794">
        <f t="shared" si="268"/>
        <v>0.3</v>
      </c>
      <c r="Y261" s="794">
        <f t="shared" si="269"/>
        <v>0.25</v>
      </c>
      <c r="Z261" s="794">
        <f t="shared" si="311"/>
        <v>0.25</v>
      </c>
      <c r="AA261" s="794">
        <f t="shared" si="271"/>
        <v>0.5</v>
      </c>
      <c r="AB261" s="794">
        <f t="shared" si="312"/>
        <v>0.25</v>
      </c>
      <c r="AC261" s="794">
        <f t="shared" si="312"/>
        <v>0.25</v>
      </c>
      <c r="AD261" s="877"/>
      <c r="AE261" s="864"/>
      <c r="AF261" s="871"/>
      <c r="AG261" s="1020"/>
      <c r="AH261" s="805"/>
      <c r="AI261" s="806"/>
    </row>
    <row r="262" spans="1:51" ht="43.2" collapsed="1" x14ac:dyDescent="0.3">
      <c r="A262" s="159">
        <f ca="1">OFFSET(A262,-14,0)+1</f>
        <v>19</v>
      </c>
      <c r="B262" s="234" t="str">
        <f ca="1">'Procesy - AS IS'!B64</f>
        <v>Meranie č. 19</v>
      </c>
      <c r="C262" s="718" t="str">
        <f>'Procesy - AS IS'!C64</f>
        <v>ENVI-PACK, a.s., Bratislava, Kontrola povinností rozšírenej zodpovednosti výrobcov, 7209/2017</v>
      </c>
      <c r="D262" s="796">
        <f>-'Procesy - AS IS'!D66*D275</f>
        <v>0</v>
      </c>
      <c r="E262" s="721">
        <f>-'Procesy - AS IS'!E66*E275</f>
        <v>0</v>
      </c>
      <c r="F262" s="721">
        <f>-'Procesy - AS IS'!F66*F275</f>
        <v>0</v>
      </c>
      <c r="G262" s="721">
        <f>-'Procesy - AS IS'!G66*G275</f>
        <v>-7.1999999999999993</v>
      </c>
      <c r="H262" s="721" t="s">
        <v>568</v>
      </c>
      <c r="I262" s="721" t="s">
        <v>568</v>
      </c>
      <c r="J262" s="721" t="s">
        <v>568</v>
      </c>
      <c r="K262" s="721" t="s">
        <v>568</v>
      </c>
      <c r="L262" s="721">
        <f>-'Procesy - AS IS'!L66*L275</f>
        <v>-0.2</v>
      </c>
      <c r="M262" s="721">
        <f>-'Procesy - AS IS'!M66*M275</f>
        <v>-3.5999999999999996</v>
      </c>
      <c r="N262" s="721">
        <f>-'Procesy - AS IS'!N66*N275</f>
        <v>0</v>
      </c>
      <c r="O262" s="721" t="s">
        <v>572</v>
      </c>
      <c r="P262" s="721">
        <f>-'Procesy - AS IS'!P66*P275</f>
        <v>-18</v>
      </c>
      <c r="Q262" s="721">
        <f>-'Procesy - AS IS'!Q66*Q275</f>
        <v>0</v>
      </c>
      <c r="R262" s="721">
        <f>-'Procesy - AS IS'!R66*R275</f>
        <v>-10.517542680467804</v>
      </c>
      <c r="S262" s="721">
        <f>-'Procesy - AS IS'!S66*S275</f>
        <v>-19.482457319532195</v>
      </c>
      <c r="T262" s="721">
        <f>-'Procesy - AS IS'!T66*T275</f>
        <v>-3.5058475601559347</v>
      </c>
      <c r="U262" s="721">
        <f>-'Procesy - AS IS'!U66*U275</f>
        <v>-7.7929829278128775</v>
      </c>
      <c r="V262" s="721">
        <f>-'Procesy - AS IS'!V66*V275</f>
        <v>-0.5</v>
      </c>
      <c r="W262" s="721">
        <f>-'Procesy - AS IS'!W66*W275</f>
        <v>0</v>
      </c>
      <c r="X262" s="721">
        <f>-'Procesy - AS IS'!X66*X275</f>
        <v>0</v>
      </c>
      <c r="Y262" s="721">
        <f>-'Procesy - AS IS'!Y66*Y275</f>
        <v>0</v>
      </c>
      <c r="Z262" s="721">
        <f>-'Procesy - AS IS'!Z66*Z275</f>
        <v>0</v>
      </c>
      <c r="AA262" s="721">
        <f>-'Procesy - AS IS'!AA66*AA275</f>
        <v>0</v>
      </c>
      <c r="AB262" s="721">
        <f>-'Procesy - AS IS'!AB66*AB275</f>
        <v>0</v>
      </c>
      <c r="AC262" s="721">
        <f>-'Procesy - AS IS'!AC66*AC275</f>
        <v>0</v>
      </c>
      <c r="AD262" s="824">
        <f>SUM(D262:AC262)</f>
        <v>-70.798830487968814</v>
      </c>
      <c r="AE262" s="798">
        <f>AD262/'Procesy - AS IS'!AD66</f>
        <v>-0.29810033889671078</v>
      </c>
      <c r="AF262" s="869">
        <f>('Procesy - AS IS'!AG63/(1+$AE262)-'Procesy - AS IS'!AG63)/2</f>
        <v>18.262317654363791</v>
      </c>
      <c r="AG262" s="1018">
        <f>('Procesy - AS IS'!AH63/(1+$AE262)-'Procesy - AS IS'!AH63)/2</f>
        <v>6.4024901791343929</v>
      </c>
      <c r="AH262" s="800">
        <f>('Procesy - AS IS'!AI63/(1+$AE262)-'Procesy - AS IS'!AI63)/2</f>
        <v>3.8223455555645138</v>
      </c>
      <c r="AI262" s="801">
        <f>('Procesy - AS IS'!AJ63/(1+$AE262)-'Procesy - AS IS'!AJ63)/2</f>
        <v>0.42470506172939038</v>
      </c>
      <c r="AK262" s="232"/>
      <c r="AY262" s="227"/>
    </row>
    <row r="263" spans="1:51" hidden="1" outlineLevel="1" x14ac:dyDescent="0.3">
      <c r="A263" s="159"/>
      <c r="B263" s="1190" t="s">
        <v>540</v>
      </c>
      <c r="C263" s="735" t="str">
        <f>'Optimalizačné opatrenia'!$B$2</f>
        <v>Modernizácia</v>
      </c>
      <c r="D263" s="741" t="s">
        <v>542</v>
      </c>
      <c r="E263" s="742" t="s">
        <v>542</v>
      </c>
      <c r="F263" s="773" t="s">
        <v>542</v>
      </c>
      <c r="G263" s="773" t="str">
        <f t="shared" ref="G263:G275" si="337">G193</f>
        <v>A</v>
      </c>
      <c r="H263" s="773"/>
      <c r="I263" s="773"/>
      <c r="J263" s="773"/>
      <c r="K263" s="773"/>
      <c r="L263" s="773" t="str">
        <f t="shared" ref="L263:M275" si="338">L221</f>
        <v>A</v>
      </c>
      <c r="M263" s="773" t="str">
        <f t="shared" si="338"/>
        <v>A</v>
      </c>
      <c r="N263" s="773" t="s">
        <v>542</v>
      </c>
      <c r="O263" s="773"/>
      <c r="P263" s="773" t="str">
        <f t="shared" ref="P263:R275" si="339">P193</f>
        <v>A</v>
      </c>
      <c r="Q263" s="773" t="str">
        <f t="shared" si="339"/>
        <v>A</v>
      </c>
      <c r="R263" s="773" t="str">
        <f t="shared" si="339"/>
        <v>A</v>
      </c>
      <c r="S263" s="773" t="str">
        <f t="shared" ref="S263:S275" si="340">R263</f>
        <v>A</v>
      </c>
      <c r="T263" s="773" t="str">
        <f t="shared" ref="T263:T275" si="341">R263</f>
        <v>A</v>
      </c>
      <c r="U263" s="773" t="str">
        <f t="shared" ref="U263:U275" si="342">G221</f>
        <v>A</v>
      </c>
      <c r="V263" s="773" t="str">
        <f t="shared" ref="V263:V275" si="343">V193</f>
        <v>A</v>
      </c>
      <c r="W263" s="773" t="str">
        <f t="shared" ref="W263:W275" si="344">W7</f>
        <v>A</v>
      </c>
      <c r="X263" s="773" t="str">
        <f t="shared" ref="X263:X275" si="345">G263</f>
        <v>A</v>
      </c>
      <c r="Y263" s="773" t="str">
        <f t="shared" ref="Y263:Y275" si="346">R263</f>
        <v>A</v>
      </c>
      <c r="Z263" s="773" t="str">
        <f t="shared" ref="Z263:Z275" si="347">R263</f>
        <v>A</v>
      </c>
      <c r="AA263" s="773" t="str">
        <f t="shared" ref="AA263:AA275" si="348">$V263</f>
        <v>A</v>
      </c>
      <c r="AB263" s="773" t="str">
        <f t="shared" ref="AB263:AB275" si="349">G263</f>
        <v>A</v>
      </c>
      <c r="AC263" s="773" t="str">
        <f t="shared" ref="AC263:AC275" si="350">R263</f>
        <v>A</v>
      </c>
      <c r="AD263" s="876"/>
      <c r="AE263" s="863"/>
      <c r="AF263" s="870"/>
      <c r="AG263" s="1019"/>
      <c r="AH263" s="802"/>
      <c r="AI263" s="803"/>
    </row>
    <row r="264" spans="1:51" hidden="1" outlineLevel="1" x14ac:dyDescent="0.3">
      <c r="A264" s="159"/>
      <c r="B264" s="1191"/>
      <c r="C264" s="735" t="str">
        <f>'Optimalizačné opatrenia'!$B$3</f>
        <v>Sfunkčnenie</v>
      </c>
      <c r="D264" s="788" t="s">
        <v>542</v>
      </c>
      <c r="E264" s="773" t="s">
        <v>542</v>
      </c>
      <c r="F264" s="773" t="s">
        <v>542</v>
      </c>
      <c r="G264" s="773" t="str">
        <f t="shared" si="337"/>
        <v>N</v>
      </c>
      <c r="H264" s="773"/>
      <c r="I264" s="773"/>
      <c r="J264" s="773"/>
      <c r="K264" s="773"/>
      <c r="L264" s="773" t="str">
        <f t="shared" si="338"/>
        <v>N</v>
      </c>
      <c r="M264" s="773" t="str">
        <f t="shared" si="338"/>
        <v>N</v>
      </c>
      <c r="N264" s="773" t="s">
        <v>542</v>
      </c>
      <c r="O264" s="773"/>
      <c r="P264" s="773" t="str">
        <f t="shared" si="339"/>
        <v>N</v>
      </c>
      <c r="Q264" s="773" t="str">
        <f t="shared" si="339"/>
        <v>N</v>
      </c>
      <c r="R264" s="773" t="str">
        <f t="shared" si="339"/>
        <v>N</v>
      </c>
      <c r="S264" s="773" t="str">
        <f t="shared" si="340"/>
        <v>N</v>
      </c>
      <c r="T264" s="773" t="str">
        <f t="shared" si="341"/>
        <v>N</v>
      </c>
      <c r="U264" s="773" t="str">
        <f t="shared" si="342"/>
        <v>N</v>
      </c>
      <c r="V264" s="773" t="str">
        <f t="shared" si="343"/>
        <v>N</v>
      </c>
      <c r="W264" s="773" t="str">
        <f t="shared" si="344"/>
        <v>N</v>
      </c>
      <c r="X264" s="773" t="str">
        <f t="shared" si="345"/>
        <v>N</v>
      </c>
      <c r="Y264" s="773" t="str">
        <f t="shared" si="346"/>
        <v>N</v>
      </c>
      <c r="Z264" s="773" t="str">
        <f t="shared" si="347"/>
        <v>N</v>
      </c>
      <c r="AA264" s="773" t="str">
        <f t="shared" si="348"/>
        <v>N</v>
      </c>
      <c r="AB264" s="773" t="str">
        <f t="shared" si="349"/>
        <v>N</v>
      </c>
      <c r="AC264" s="773" t="str">
        <f t="shared" si="350"/>
        <v>N</v>
      </c>
      <c r="AD264" s="876"/>
      <c r="AE264" s="863"/>
      <c r="AF264" s="870"/>
      <c r="AG264" s="1019"/>
      <c r="AH264" s="802"/>
      <c r="AI264" s="803"/>
    </row>
    <row r="265" spans="1:51" hidden="1" outlineLevel="1" x14ac:dyDescent="0.3">
      <c r="A265" s="159"/>
      <c r="B265" s="1191"/>
      <c r="C265" s="735" t="str">
        <f>'Optimalizačné opatrenia'!$B$4</f>
        <v>Zjednotenie</v>
      </c>
      <c r="D265" s="788" t="s">
        <v>542</v>
      </c>
      <c r="E265" s="773" t="s">
        <v>542</v>
      </c>
      <c r="F265" s="773" t="s">
        <v>542</v>
      </c>
      <c r="G265" s="773" t="str">
        <f t="shared" si="337"/>
        <v>A</v>
      </c>
      <c r="H265" s="773"/>
      <c r="I265" s="773"/>
      <c r="J265" s="773"/>
      <c r="K265" s="773"/>
      <c r="L265" s="773" t="str">
        <f t="shared" si="338"/>
        <v>A</v>
      </c>
      <c r="M265" s="773" t="str">
        <f t="shared" si="338"/>
        <v>A</v>
      </c>
      <c r="N265" s="773" t="s">
        <v>542</v>
      </c>
      <c r="O265" s="773"/>
      <c r="P265" s="773" t="str">
        <f t="shared" si="339"/>
        <v>A</v>
      </c>
      <c r="Q265" s="773" t="str">
        <f t="shared" si="339"/>
        <v>A</v>
      </c>
      <c r="R265" s="773" t="str">
        <f t="shared" si="339"/>
        <v>A</v>
      </c>
      <c r="S265" s="773" t="str">
        <f t="shared" si="340"/>
        <v>A</v>
      </c>
      <c r="T265" s="773" t="str">
        <f t="shared" si="341"/>
        <v>A</v>
      </c>
      <c r="U265" s="773" t="str">
        <f t="shared" si="342"/>
        <v>A</v>
      </c>
      <c r="V265" s="773" t="str">
        <f t="shared" si="343"/>
        <v>A</v>
      </c>
      <c r="W265" s="773" t="str">
        <f t="shared" si="344"/>
        <v>A</v>
      </c>
      <c r="X265" s="773" t="str">
        <f t="shared" si="345"/>
        <v>A</v>
      </c>
      <c r="Y265" s="773" t="str">
        <f t="shared" si="346"/>
        <v>A</v>
      </c>
      <c r="Z265" s="773" t="str">
        <f t="shared" si="347"/>
        <v>A</v>
      </c>
      <c r="AA265" s="773" t="str">
        <f t="shared" si="348"/>
        <v>A</v>
      </c>
      <c r="AB265" s="773" t="str">
        <f t="shared" si="349"/>
        <v>A</v>
      </c>
      <c r="AC265" s="773" t="str">
        <f t="shared" si="350"/>
        <v>A</v>
      </c>
      <c r="AD265" s="876"/>
      <c r="AE265" s="863"/>
      <c r="AF265" s="870"/>
      <c r="AG265" s="1019"/>
      <c r="AH265" s="802"/>
      <c r="AI265" s="803"/>
    </row>
    <row r="266" spans="1:51" hidden="1" outlineLevel="1" x14ac:dyDescent="0.3">
      <c r="A266" s="159"/>
      <c r="B266" s="1191"/>
      <c r="C266" s="735" t="str">
        <f>'Optimalizačné opatrenia'!$B$5</f>
        <v>Centralizácia</v>
      </c>
      <c r="D266" s="788" t="s">
        <v>542</v>
      </c>
      <c r="E266" s="773" t="s">
        <v>542</v>
      </c>
      <c r="F266" s="773" t="s">
        <v>542</v>
      </c>
      <c r="G266" s="773" t="str">
        <f t="shared" si="337"/>
        <v>A</v>
      </c>
      <c r="H266" s="773"/>
      <c r="I266" s="773"/>
      <c r="J266" s="773"/>
      <c r="K266" s="773"/>
      <c r="L266" s="773" t="str">
        <f t="shared" si="338"/>
        <v>A</v>
      </c>
      <c r="M266" s="773" t="str">
        <f t="shared" si="338"/>
        <v>A</v>
      </c>
      <c r="N266" s="773" t="s">
        <v>542</v>
      </c>
      <c r="O266" s="773"/>
      <c r="P266" s="773" t="str">
        <f t="shared" si="339"/>
        <v>A</v>
      </c>
      <c r="Q266" s="773" t="str">
        <f t="shared" si="339"/>
        <v>A</v>
      </c>
      <c r="R266" s="773" t="str">
        <f t="shared" si="339"/>
        <v>A</v>
      </c>
      <c r="S266" s="773" t="str">
        <f t="shared" si="340"/>
        <v>A</v>
      </c>
      <c r="T266" s="773" t="str">
        <f t="shared" si="341"/>
        <v>A</v>
      </c>
      <c r="U266" s="773" t="str">
        <f t="shared" si="342"/>
        <v>A</v>
      </c>
      <c r="V266" s="773" t="str">
        <f t="shared" si="343"/>
        <v>A</v>
      </c>
      <c r="W266" s="773" t="str">
        <f t="shared" si="344"/>
        <v>A</v>
      </c>
      <c r="X266" s="773" t="str">
        <f t="shared" si="345"/>
        <v>A</v>
      </c>
      <c r="Y266" s="773" t="str">
        <f t="shared" si="346"/>
        <v>A</v>
      </c>
      <c r="Z266" s="773" t="str">
        <f t="shared" si="347"/>
        <v>A</v>
      </c>
      <c r="AA266" s="773" t="str">
        <f t="shared" si="348"/>
        <v>A</v>
      </c>
      <c r="AB266" s="773" t="str">
        <f t="shared" si="349"/>
        <v>A</v>
      </c>
      <c r="AC266" s="773" t="str">
        <f t="shared" si="350"/>
        <v>A</v>
      </c>
      <c r="AD266" s="876"/>
      <c r="AE266" s="863"/>
      <c r="AF266" s="870"/>
      <c r="AG266" s="1019"/>
      <c r="AH266" s="802"/>
      <c r="AI266" s="803"/>
    </row>
    <row r="267" spans="1:51" hidden="1" outlineLevel="1" x14ac:dyDescent="0.3">
      <c r="A267" s="159"/>
      <c r="B267" s="1191"/>
      <c r="C267" s="735" t="str">
        <f>'Optimalizačné opatrenia'!$B$6</f>
        <v>Elektronizácia</v>
      </c>
      <c r="D267" s="788" t="s">
        <v>542</v>
      </c>
      <c r="E267" s="773" t="s">
        <v>542</v>
      </c>
      <c r="F267" s="773" t="s">
        <v>542</v>
      </c>
      <c r="G267" s="773" t="str">
        <f t="shared" si="337"/>
        <v>A</v>
      </c>
      <c r="H267" s="773"/>
      <c r="I267" s="773"/>
      <c r="J267" s="773"/>
      <c r="K267" s="773"/>
      <c r="L267" s="773" t="str">
        <f t="shared" si="338"/>
        <v>A</v>
      </c>
      <c r="M267" s="773" t="str">
        <f t="shared" si="338"/>
        <v>A</v>
      </c>
      <c r="N267" s="773" t="s">
        <v>542</v>
      </c>
      <c r="O267" s="773"/>
      <c r="P267" s="773" t="str">
        <f t="shared" si="339"/>
        <v>A</v>
      </c>
      <c r="Q267" s="773" t="str">
        <f t="shared" si="339"/>
        <v>A</v>
      </c>
      <c r="R267" s="773" t="str">
        <f t="shared" si="339"/>
        <v>A</v>
      </c>
      <c r="S267" s="773" t="str">
        <f t="shared" si="340"/>
        <v>A</v>
      </c>
      <c r="T267" s="773" t="str">
        <f t="shared" si="341"/>
        <v>A</v>
      </c>
      <c r="U267" s="773" t="str">
        <f t="shared" si="342"/>
        <v>A</v>
      </c>
      <c r="V267" s="773" t="str">
        <f t="shared" si="343"/>
        <v>A</v>
      </c>
      <c r="W267" s="773" t="str">
        <f t="shared" si="344"/>
        <v>A</v>
      </c>
      <c r="X267" s="773" t="str">
        <f t="shared" si="345"/>
        <v>A</v>
      </c>
      <c r="Y267" s="773" t="str">
        <f t="shared" si="346"/>
        <v>A</v>
      </c>
      <c r="Z267" s="773" t="str">
        <f t="shared" si="347"/>
        <v>A</v>
      </c>
      <c r="AA267" s="773" t="str">
        <f t="shared" si="348"/>
        <v>A</v>
      </c>
      <c r="AB267" s="773" t="str">
        <f t="shared" si="349"/>
        <v>A</v>
      </c>
      <c r="AC267" s="773" t="str">
        <f t="shared" si="350"/>
        <v>A</v>
      </c>
      <c r="AD267" s="876"/>
      <c r="AE267" s="863"/>
      <c r="AF267" s="870"/>
      <c r="AG267" s="1019"/>
      <c r="AH267" s="802"/>
      <c r="AI267" s="803"/>
    </row>
    <row r="268" spans="1:51" hidden="1" outlineLevel="1" x14ac:dyDescent="0.3">
      <c r="A268" s="159"/>
      <c r="B268" s="1191"/>
      <c r="C268" s="735" t="str">
        <f>'Optimalizačné opatrenia'!$B$7</f>
        <v>Automatizácia</v>
      </c>
      <c r="D268" s="788" t="s">
        <v>542</v>
      </c>
      <c r="E268" s="773" t="s">
        <v>542</v>
      </c>
      <c r="F268" s="773" t="s">
        <v>542</v>
      </c>
      <c r="G268" s="773" t="str">
        <f t="shared" si="337"/>
        <v>A</v>
      </c>
      <c r="H268" s="773"/>
      <c r="I268" s="773"/>
      <c r="J268" s="773"/>
      <c r="K268" s="773"/>
      <c r="L268" s="773" t="str">
        <f t="shared" si="338"/>
        <v>A</v>
      </c>
      <c r="M268" s="773" t="str">
        <f t="shared" si="338"/>
        <v>A</v>
      </c>
      <c r="N268" s="773" t="s">
        <v>542</v>
      </c>
      <c r="O268" s="773"/>
      <c r="P268" s="773" t="str">
        <f t="shared" si="339"/>
        <v>A</v>
      </c>
      <c r="Q268" s="773" t="str">
        <f t="shared" si="339"/>
        <v>A</v>
      </c>
      <c r="R268" s="773" t="str">
        <f t="shared" si="339"/>
        <v>A</v>
      </c>
      <c r="S268" s="773" t="str">
        <f t="shared" si="340"/>
        <v>A</v>
      </c>
      <c r="T268" s="773" t="str">
        <f t="shared" si="341"/>
        <v>A</v>
      </c>
      <c r="U268" s="773" t="str">
        <f t="shared" si="342"/>
        <v>A</v>
      </c>
      <c r="V268" s="773" t="str">
        <f t="shared" si="343"/>
        <v>A</v>
      </c>
      <c r="W268" s="773" t="str">
        <f t="shared" si="344"/>
        <v>A</v>
      </c>
      <c r="X268" s="773" t="str">
        <f t="shared" si="345"/>
        <v>A</v>
      </c>
      <c r="Y268" s="773" t="str">
        <f t="shared" si="346"/>
        <v>A</v>
      </c>
      <c r="Z268" s="773" t="str">
        <f t="shared" si="347"/>
        <v>A</v>
      </c>
      <c r="AA268" s="773" t="str">
        <f t="shared" si="348"/>
        <v>A</v>
      </c>
      <c r="AB268" s="773" t="str">
        <f t="shared" si="349"/>
        <v>A</v>
      </c>
      <c r="AC268" s="773" t="str">
        <f t="shared" si="350"/>
        <v>A</v>
      </c>
      <c r="AD268" s="876"/>
      <c r="AE268" s="863"/>
      <c r="AF268" s="870"/>
      <c r="AG268" s="1019"/>
      <c r="AH268" s="802"/>
      <c r="AI268" s="803"/>
    </row>
    <row r="269" spans="1:51" hidden="1" outlineLevel="1" x14ac:dyDescent="0.3">
      <c r="A269" s="159"/>
      <c r="B269" s="1191"/>
      <c r="C269" s="735" t="str">
        <f>'Optimalizačné opatrenia'!$B$8</f>
        <v>Bezpečnosť</v>
      </c>
      <c r="D269" s="788" t="s">
        <v>542</v>
      </c>
      <c r="E269" s="773" t="s">
        <v>542</v>
      </c>
      <c r="F269" s="773" t="s">
        <v>542</v>
      </c>
      <c r="G269" s="773" t="str">
        <f t="shared" si="337"/>
        <v>A</v>
      </c>
      <c r="H269" s="773"/>
      <c r="I269" s="773"/>
      <c r="J269" s="773"/>
      <c r="K269" s="773"/>
      <c r="L269" s="773" t="str">
        <f t="shared" si="338"/>
        <v>A</v>
      </c>
      <c r="M269" s="773" t="str">
        <f t="shared" si="338"/>
        <v>A</v>
      </c>
      <c r="N269" s="773" t="s">
        <v>542</v>
      </c>
      <c r="O269" s="773"/>
      <c r="P269" s="773" t="str">
        <f t="shared" si="339"/>
        <v>A</v>
      </c>
      <c r="Q269" s="773" t="str">
        <f t="shared" si="339"/>
        <v>A</v>
      </c>
      <c r="R269" s="773" t="str">
        <f t="shared" si="339"/>
        <v>A</v>
      </c>
      <c r="S269" s="773" t="str">
        <f t="shared" si="340"/>
        <v>A</v>
      </c>
      <c r="T269" s="773" t="str">
        <f t="shared" si="341"/>
        <v>A</v>
      </c>
      <c r="U269" s="773" t="str">
        <f t="shared" si="342"/>
        <v>A</v>
      </c>
      <c r="V269" s="773" t="str">
        <f t="shared" si="343"/>
        <v>A</v>
      </c>
      <c r="W269" s="773" t="str">
        <f t="shared" si="344"/>
        <v>A</v>
      </c>
      <c r="X269" s="773" t="str">
        <f t="shared" si="345"/>
        <v>A</v>
      </c>
      <c r="Y269" s="773" t="str">
        <f t="shared" si="346"/>
        <v>A</v>
      </c>
      <c r="Z269" s="773" t="str">
        <f t="shared" si="347"/>
        <v>A</v>
      </c>
      <c r="AA269" s="773" t="str">
        <f t="shared" si="348"/>
        <v>A</v>
      </c>
      <c r="AB269" s="773" t="str">
        <f t="shared" si="349"/>
        <v>A</v>
      </c>
      <c r="AC269" s="773" t="str">
        <f t="shared" si="350"/>
        <v>A</v>
      </c>
      <c r="AD269" s="876"/>
      <c r="AE269" s="863"/>
      <c r="AF269" s="870"/>
      <c r="AG269" s="1019"/>
      <c r="AH269" s="802"/>
      <c r="AI269" s="803"/>
    </row>
    <row r="270" spans="1:51" hidden="1" outlineLevel="1" x14ac:dyDescent="0.3">
      <c r="A270" s="159"/>
      <c r="B270" s="1191"/>
      <c r="C270" s="735" t="str">
        <f>'Optimalizačné opatrenia'!$B$9</f>
        <v>Auditovateľnosť</v>
      </c>
      <c r="D270" s="788" t="s">
        <v>542</v>
      </c>
      <c r="E270" s="773" t="s">
        <v>542</v>
      </c>
      <c r="F270" s="773" t="s">
        <v>542</v>
      </c>
      <c r="G270" s="773" t="str">
        <f t="shared" si="337"/>
        <v>A</v>
      </c>
      <c r="H270" s="773"/>
      <c r="I270" s="773"/>
      <c r="J270" s="773"/>
      <c r="K270" s="773"/>
      <c r="L270" s="773" t="str">
        <f t="shared" si="338"/>
        <v>A</v>
      </c>
      <c r="M270" s="773" t="str">
        <f t="shared" si="338"/>
        <v>A</v>
      </c>
      <c r="N270" s="773" t="s">
        <v>542</v>
      </c>
      <c r="O270" s="773"/>
      <c r="P270" s="773" t="str">
        <f t="shared" si="339"/>
        <v>A</v>
      </c>
      <c r="Q270" s="773" t="str">
        <f t="shared" si="339"/>
        <v>A</v>
      </c>
      <c r="R270" s="773" t="str">
        <f t="shared" si="339"/>
        <v>N</v>
      </c>
      <c r="S270" s="773" t="str">
        <f t="shared" si="340"/>
        <v>N</v>
      </c>
      <c r="T270" s="773" t="str">
        <f t="shared" si="341"/>
        <v>N</v>
      </c>
      <c r="U270" s="773" t="str">
        <f t="shared" si="342"/>
        <v>A</v>
      </c>
      <c r="V270" s="773" t="str">
        <f t="shared" si="343"/>
        <v>A</v>
      </c>
      <c r="W270" s="773" t="str">
        <f t="shared" si="344"/>
        <v>A</v>
      </c>
      <c r="X270" s="773" t="str">
        <f t="shared" si="345"/>
        <v>A</v>
      </c>
      <c r="Y270" s="773" t="str">
        <f t="shared" si="346"/>
        <v>N</v>
      </c>
      <c r="Z270" s="773" t="str">
        <f t="shared" si="347"/>
        <v>N</v>
      </c>
      <c r="AA270" s="773" t="str">
        <f t="shared" si="348"/>
        <v>A</v>
      </c>
      <c r="AB270" s="773" t="str">
        <f t="shared" si="349"/>
        <v>A</v>
      </c>
      <c r="AC270" s="773" t="str">
        <f t="shared" si="350"/>
        <v>N</v>
      </c>
      <c r="AD270" s="876"/>
      <c r="AE270" s="863"/>
      <c r="AF270" s="870"/>
      <c r="AG270" s="1019"/>
      <c r="AH270" s="802"/>
      <c r="AI270" s="803"/>
    </row>
    <row r="271" spans="1:51" hidden="1" outlineLevel="1" x14ac:dyDescent="0.3">
      <c r="A271" s="159"/>
      <c r="B271" s="1191"/>
      <c r="C271" s="735" t="str">
        <f>'Optimalizačné opatrenia'!$B$10</f>
        <v>Transparentnosť</v>
      </c>
      <c r="D271" s="788" t="s">
        <v>542</v>
      </c>
      <c r="E271" s="773" t="s">
        <v>542</v>
      </c>
      <c r="F271" s="773" t="s">
        <v>542</v>
      </c>
      <c r="G271" s="773" t="str">
        <f t="shared" si="337"/>
        <v>N</v>
      </c>
      <c r="H271" s="773"/>
      <c r="I271" s="773"/>
      <c r="J271" s="773"/>
      <c r="K271" s="773"/>
      <c r="L271" s="773" t="str">
        <f t="shared" si="338"/>
        <v>N</v>
      </c>
      <c r="M271" s="773" t="str">
        <f t="shared" si="338"/>
        <v>N</v>
      </c>
      <c r="N271" s="773" t="s">
        <v>542</v>
      </c>
      <c r="O271" s="773"/>
      <c r="P271" s="773" t="str">
        <f t="shared" si="339"/>
        <v>A</v>
      </c>
      <c r="Q271" s="773" t="str">
        <f t="shared" si="339"/>
        <v>N</v>
      </c>
      <c r="R271" s="773" t="str">
        <f t="shared" si="339"/>
        <v>N</v>
      </c>
      <c r="S271" s="773" t="str">
        <f t="shared" si="340"/>
        <v>N</v>
      </c>
      <c r="T271" s="773" t="str">
        <f t="shared" si="341"/>
        <v>N</v>
      </c>
      <c r="U271" s="773" t="str">
        <f t="shared" si="342"/>
        <v>N</v>
      </c>
      <c r="V271" s="773" t="str">
        <f t="shared" si="343"/>
        <v>A</v>
      </c>
      <c r="W271" s="773" t="str">
        <f t="shared" si="344"/>
        <v>N</v>
      </c>
      <c r="X271" s="773" t="str">
        <f t="shared" si="345"/>
        <v>N</v>
      </c>
      <c r="Y271" s="773" t="str">
        <f t="shared" si="346"/>
        <v>N</v>
      </c>
      <c r="Z271" s="773" t="str">
        <f t="shared" si="347"/>
        <v>N</v>
      </c>
      <c r="AA271" s="773" t="str">
        <f t="shared" si="348"/>
        <v>A</v>
      </c>
      <c r="AB271" s="773" t="str">
        <f t="shared" si="349"/>
        <v>N</v>
      </c>
      <c r="AC271" s="773" t="str">
        <f t="shared" si="350"/>
        <v>N</v>
      </c>
      <c r="AD271" s="876"/>
      <c r="AE271" s="863"/>
      <c r="AF271" s="870"/>
      <c r="AG271" s="1019"/>
      <c r="AH271" s="802"/>
      <c r="AI271" s="803"/>
    </row>
    <row r="272" spans="1:51" hidden="1" outlineLevel="1" x14ac:dyDescent="0.3">
      <c r="A272" s="159"/>
      <c r="B272" s="1191"/>
      <c r="C272" s="735" t="str">
        <f>'Optimalizačné opatrenia'!$B$11</f>
        <v>Analyzovatelnosť</v>
      </c>
      <c r="D272" s="788" t="s">
        <v>542</v>
      </c>
      <c r="E272" s="773" t="s">
        <v>542</v>
      </c>
      <c r="F272" s="773" t="s">
        <v>542</v>
      </c>
      <c r="G272" s="773" t="str">
        <f t="shared" si="337"/>
        <v>A</v>
      </c>
      <c r="H272" s="773"/>
      <c r="I272" s="773"/>
      <c r="J272" s="773"/>
      <c r="K272" s="773"/>
      <c r="L272" s="773" t="str">
        <f t="shared" si="338"/>
        <v>A</v>
      </c>
      <c r="M272" s="773" t="str">
        <f t="shared" si="338"/>
        <v>A</v>
      </c>
      <c r="N272" s="773" t="s">
        <v>542</v>
      </c>
      <c r="O272" s="773"/>
      <c r="P272" s="773" t="str">
        <f t="shared" si="339"/>
        <v>A</v>
      </c>
      <c r="Q272" s="773" t="str">
        <f t="shared" si="339"/>
        <v>A</v>
      </c>
      <c r="R272" s="773" t="str">
        <f t="shared" si="339"/>
        <v>N</v>
      </c>
      <c r="S272" s="773" t="str">
        <f t="shared" si="340"/>
        <v>N</v>
      </c>
      <c r="T272" s="773" t="str">
        <f t="shared" si="341"/>
        <v>N</v>
      </c>
      <c r="U272" s="773" t="str">
        <f t="shared" si="342"/>
        <v>A</v>
      </c>
      <c r="V272" s="773" t="str">
        <f t="shared" si="343"/>
        <v>A</v>
      </c>
      <c r="W272" s="773" t="str">
        <f t="shared" si="344"/>
        <v>A</v>
      </c>
      <c r="X272" s="773" t="str">
        <f t="shared" si="345"/>
        <v>A</v>
      </c>
      <c r="Y272" s="773" t="str">
        <f t="shared" si="346"/>
        <v>N</v>
      </c>
      <c r="Z272" s="773" t="str">
        <f t="shared" si="347"/>
        <v>N</v>
      </c>
      <c r="AA272" s="773" t="str">
        <f t="shared" si="348"/>
        <v>A</v>
      </c>
      <c r="AB272" s="773" t="str">
        <f t="shared" si="349"/>
        <v>A</v>
      </c>
      <c r="AC272" s="773" t="str">
        <f t="shared" si="350"/>
        <v>N</v>
      </c>
      <c r="AD272" s="876"/>
      <c r="AE272" s="863"/>
      <c r="AF272" s="870"/>
      <c r="AG272" s="1019"/>
      <c r="AH272" s="802"/>
      <c r="AI272" s="803"/>
    </row>
    <row r="273" spans="1:51" hidden="1" outlineLevel="1" x14ac:dyDescent="0.3">
      <c r="A273" s="159"/>
      <c r="B273" s="1191"/>
      <c r="C273" s="735" t="str">
        <f>'Optimalizačné opatrenia'!$B$12</f>
        <v>Integrácia</v>
      </c>
      <c r="D273" s="788" t="s">
        <v>542</v>
      </c>
      <c r="E273" s="773" t="s">
        <v>542</v>
      </c>
      <c r="F273" s="773" t="s">
        <v>542</v>
      </c>
      <c r="G273" s="773" t="str">
        <f t="shared" si="337"/>
        <v>A</v>
      </c>
      <c r="H273" s="773"/>
      <c r="I273" s="773"/>
      <c r="J273" s="773"/>
      <c r="K273" s="773"/>
      <c r="L273" s="773" t="str">
        <f t="shared" si="338"/>
        <v>A</v>
      </c>
      <c r="M273" s="773" t="str">
        <f t="shared" si="338"/>
        <v>A</v>
      </c>
      <c r="N273" s="773" t="s">
        <v>542</v>
      </c>
      <c r="O273" s="773"/>
      <c r="P273" s="773" t="str">
        <f t="shared" si="339"/>
        <v>A</v>
      </c>
      <c r="Q273" s="773" t="str">
        <f t="shared" si="339"/>
        <v>A</v>
      </c>
      <c r="R273" s="773" t="str">
        <f t="shared" si="339"/>
        <v>A</v>
      </c>
      <c r="S273" s="773" t="str">
        <f t="shared" si="340"/>
        <v>A</v>
      </c>
      <c r="T273" s="773" t="str">
        <f t="shared" si="341"/>
        <v>A</v>
      </c>
      <c r="U273" s="773" t="str">
        <f t="shared" si="342"/>
        <v>A</v>
      </c>
      <c r="V273" s="773" t="str">
        <f t="shared" si="343"/>
        <v>A</v>
      </c>
      <c r="W273" s="773" t="str">
        <f t="shared" si="344"/>
        <v>A</v>
      </c>
      <c r="X273" s="773" t="str">
        <f t="shared" si="345"/>
        <v>A</v>
      </c>
      <c r="Y273" s="773" t="str">
        <f t="shared" si="346"/>
        <v>A</v>
      </c>
      <c r="Z273" s="773" t="str">
        <f t="shared" si="347"/>
        <v>A</v>
      </c>
      <c r="AA273" s="773" t="str">
        <f t="shared" si="348"/>
        <v>A</v>
      </c>
      <c r="AB273" s="773" t="str">
        <f t="shared" si="349"/>
        <v>A</v>
      </c>
      <c r="AC273" s="773" t="str">
        <f t="shared" si="350"/>
        <v>A</v>
      </c>
      <c r="AD273" s="876"/>
      <c r="AE273" s="863"/>
      <c r="AF273" s="870"/>
      <c r="AG273" s="1019"/>
      <c r="AH273" s="802"/>
      <c r="AI273" s="803"/>
    </row>
    <row r="274" spans="1:51" hidden="1" outlineLevel="1" x14ac:dyDescent="0.3">
      <c r="A274" s="159"/>
      <c r="B274" s="1191"/>
      <c r="C274" s="740" t="str">
        <f>'Optimalizačné opatrenia'!$B$13</f>
        <v>Proaktivita</v>
      </c>
      <c r="D274" s="788" t="s">
        <v>542</v>
      </c>
      <c r="E274" s="773" t="s">
        <v>542</v>
      </c>
      <c r="F274" s="773" t="s">
        <v>542</v>
      </c>
      <c r="G274" s="773" t="str">
        <f t="shared" si="337"/>
        <v>N</v>
      </c>
      <c r="H274" s="773"/>
      <c r="I274" s="773"/>
      <c r="J274" s="773"/>
      <c r="K274" s="773"/>
      <c r="L274" s="773" t="str">
        <f t="shared" si="338"/>
        <v>A</v>
      </c>
      <c r="M274" s="773" t="str">
        <f t="shared" si="338"/>
        <v>N</v>
      </c>
      <c r="N274" s="773" t="s">
        <v>542</v>
      </c>
      <c r="O274" s="773"/>
      <c r="P274" s="773" t="str">
        <f t="shared" si="339"/>
        <v>N</v>
      </c>
      <c r="Q274" s="773" t="str">
        <f t="shared" si="339"/>
        <v>N</v>
      </c>
      <c r="R274" s="773" t="str">
        <f t="shared" si="339"/>
        <v>A</v>
      </c>
      <c r="S274" s="773" t="str">
        <f t="shared" si="340"/>
        <v>A</v>
      </c>
      <c r="T274" s="773" t="str">
        <f t="shared" si="341"/>
        <v>A</v>
      </c>
      <c r="U274" s="773" t="str">
        <f t="shared" si="342"/>
        <v>N</v>
      </c>
      <c r="V274" s="773" t="str">
        <f t="shared" si="343"/>
        <v>A</v>
      </c>
      <c r="W274" s="773" t="str">
        <f t="shared" si="344"/>
        <v>N</v>
      </c>
      <c r="X274" s="773" t="str">
        <f t="shared" si="345"/>
        <v>N</v>
      </c>
      <c r="Y274" s="773" t="str">
        <f t="shared" si="346"/>
        <v>A</v>
      </c>
      <c r="Z274" s="773" t="str">
        <f t="shared" si="347"/>
        <v>A</v>
      </c>
      <c r="AA274" s="773" t="str">
        <f t="shared" si="348"/>
        <v>A</v>
      </c>
      <c r="AB274" s="773" t="str">
        <f t="shared" si="349"/>
        <v>N</v>
      </c>
      <c r="AC274" s="773" t="str">
        <f t="shared" si="350"/>
        <v>A</v>
      </c>
      <c r="AD274" s="876"/>
      <c r="AE274" s="863"/>
      <c r="AF274" s="870"/>
      <c r="AG274" s="1019"/>
      <c r="AH274" s="802"/>
      <c r="AI274" s="803"/>
    </row>
    <row r="275" spans="1:51" hidden="1" outlineLevel="1" x14ac:dyDescent="0.3">
      <c r="A275" s="159"/>
      <c r="B275" s="790"/>
      <c r="C275" s="792" t="s">
        <v>550</v>
      </c>
      <c r="D275" s="793">
        <v>0</v>
      </c>
      <c r="E275" s="791">
        <v>0</v>
      </c>
      <c r="F275" s="794">
        <v>0</v>
      </c>
      <c r="G275" s="794">
        <f t="shared" si="337"/>
        <v>0.3</v>
      </c>
      <c r="H275" s="794"/>
      <c r="I275" s="794"/>
      <c r="J275" s="794"/>
      <c r="K275" s="794"/>
      <c r="L275" s="794">
        <f t="shared" si="338"/>
        <v>0.4</v>
      </c>
      <c r="M275" s="794">
        <f t="shared" si="338"/>
        <v>0.3</v>
      </c>
      <c r="N275" s="794">
        <v>0</v>
      </c>
      <c r="O275" s="794"/>
      <c r="P275" s="794">
        <f t="shared" si="339"/>
        <v>0.45</v>
      </c>
      <c r="Q275" s="794">
        <f t="shared" si="339"/>
        <v>0.3</v>
      </c>
      <c r="R275" s="794">
        <f t="shared" si="339"/>
        <v>0.25</v>
      </c>
      <c r="S275" s="794">
        <f t="shared" si="340"/>
        <v>0.25</v>
      </c>
      <c r="T275" s="794">
        <f t="shared" si="341"/>
        <v>0.25</v>
      </c>
      <c r="U275" s="794">
        <f t="shared" si="342"/>
        <v>0.3</v>
      </c>
      <c r="V275" s="794">
        <f t="shared" si="343"/>
        <v>0.5</v>
      </c>
      <c r="W275" s="794">
        <f t="shared" si="344"/>
        <v>0.3</v>
      </c>
      <c r="X275" s="794">
        <f t="shared" si="345"/>
        <v>0.3</v>
      </c>
      <c r="Y275" s="794">
        <f t="shared" si="346"/>
        <v>0.25</v>
      </c>
      <c r="Z275" s="794">
        <f t="shared" si="347"/>
        <v>0.25</v>
      </c>
      <c r="AA275" s="794">
        <f t="shared" si="348"/>
        <v>0.5</v>
      </c>
      <c r="AB275" s="794">
        <f t="shared" si="349"/>
        <v>0.3</v>
      </c>
      <c r="AC275" s="794">
        <f t="shared" si="350"/>
        <v>0.25</v>
      </c>
      <c r="AD275" s="877"/>
      <c r="AE275" s="864"/>
      <c r="AF275" s="871"/>
      <c r="AG275" s="1020"/>
      <c r="AH275" s="805"/>
      <c r="AI275" s="806"/>
    </row>
    <row r="276" spans="1:51" ht="85.2" customHeight="1" collapsed="1" x14ac:dyDescent="0.3">
      <c r="A276" s="159">
        <f ca="1">OFFSET(A276,-14,0)+1</f>
        <v>20</v>
      </c>
      <c r="B276" s="736" t="str">
        <f ca="1">'Procesy - AS IS'!B67</f>
        <v>Meranie č. 20</v>
      </c>
      <c r="C276" s="739" t="str">
        <f>'Procesy - AS IS'!C67</f>
        <v>HANYX s.r.o. Lučenec, Podnet - subjekt vykonáva mobilný zber a prepravu komunálneho odpadu bez zmluvy s mestom (Kontrola obcí pri nakladaní s komunálnym odpadom), 8212-36652/44/2017/Kov</v>
      </c>
      <c r="D276" s="796">
        <f>-'Procesy - AS IS'!D69*D289</f>
        <v>0</v>
      </c>
      <c r="E276" s="721">
        <f>-'Procesy - AS IS'!E69*E289</f>
        <v>0</v>
      </c>
      <c r="F276" s="721">
        <f>-'Procesy - AS IS'!F69*F289</f>
        <v>0</v>
      </c>
      <c r="G276" s="721">
        <f>-'Procesy - AS IS'!G69*G289</f>
        <v>-4.8</v>
      </c>
      <c r="H276" s="721" t="s">
        <v>568</v>
      </c>
      <c r="I276" s="721" t="s">
        <v>568</v>
      </c>
      <c r="J276" s="721" t="s">
        <v>568</v>
      </c>
      <c r="K276" s="721" t="s">
        <v>568</v>
      </c>
      <c r="L276" s="721">
        <f>-'Procesy - AS IS'!L69*L289</f>
        <v>-0.1</v>
      </c>
      <c r="M276" s="721">
        <f>-'Procesy - AS IS'!M69*M289</f>
        <v>-0.22499999999999998</v>
      </c>
      <c r="N276" s="721">
        <f>-'Procesy - AS IS'!N69*N289</f>
        <v>0</v>
      </c>
      <c r="O276" s="721" t="s">
        <v>572</v>
      </c>
      <c r="P276" s="721">
        <f>-'Procesy - AS IS'!P69*P289</f>
        <v>-0.9</v>
      </c>
      <c r="Q276" s="721">
        <f>-'Procesy - AS IS'!Q69*Q289</f>
        <v>0</v>
      </c>
      <c r="R276" s="721">
        <f>-'Procesy - AS IS'!R69*R289</f>
        <v>-1.9258297070857959</v>
      </c>
      <c r="S276" s="721">
        <f>-'Procesy - AS IS'!S69*S289</f>
        <v>-4.0741702929142036</v>
      </c>
      <c r="T276" s="721">
        <f>-'Procesy - AS IS'!T69*T289</f>
        <v>-0.96291485354289796</v>
      </c>
      <c r="U276" s="721">
        <f>-'Procesy - AS IS'!U69*U289</f>
        <v>-0.61112554393713048</v>
      </c>
      <c r="V276" s="721">
        <f>-'Procesy - AS IS'!V69*V289</f>
        <v>-0.25</v>
      </c>
      <c r="W276" s="721">
        <f>-'Procesy - AS IS'!W69*W289</f>
        <v>-2.8651685393258425E-2</v>
      </c>
      <c r="X276" s="721">
        <f>-'Procesy - AS IS'!X69*X289</f>
        <v>0</v>
      </c>
      <c r="Y276" s="721">
        <f>-'Procesy - AS IS'!Y69*Y289</f>
        <v>-0.7640449438202247</v>
      </c>
      <c r="Z276" s="721">
        <f>-'Procesy - AS IS'!Z69*Z289</f>
        <v>-2.8089887640449437E-3</v>
      </c>
      <c r="AA276" s="721">
        <f>-'Procesy - AS IS'!AA69*AA289</f>
        <v>-2.247191011235955E-2</v>
      </c>
      <c r="AB276" s="721">
        <f>-'Procesy - AS IS'!AB69*AB289</f>
        <v>-0.10786516853932583</v>
      </c>
      <c r="AC276" s="721">
        <f>-'Procesy - AS IS'!AC69*AC289</f>
        <v>-0.2247191011235955</v>
      </c>
      <c r="AD276" s="824">
        <f>SUM(D276:AC276)</f>
        <v>-14.999602195232836</v>
      </c>
      <c r="AE276" s="798">
        <f>AD276/'Procesy - AS IS'!AD69</f>
        <v>-0.2785180944180336</v>
      </c>
      <c r="AF276" s="869">
        <f>'Procesy - AS IS'!AG69/(1+$AE276)-'Procesy - AS IS'!AG69</f>
        <v>34.357217016011305</v>
      </c>
      <c r="AG276" s="1018">
        <f>'Procesy - AS IS'!AH69/(1+$AE276)-'Procesy - AS IS'!AH69</f>
        <v>11.027691530371364</v>
      </c>
      <c r="AH276" s="800">
        <f>'Procesy - AS IS'!AI69/(1+$AE276)-'Procesy - AS IS'!AI69</f>
        <v>6.5626144862044065</v>
      </c>
      <c r="AI276" s="801">
        <f>'Procesy - AS IS'!AJ69/(1+$AE276)-'Procesy - AS IS'!AJ69</f>
        <v>0.77207229249463616</v>
      </c>
      <c r="AK276" s="232"/>
      <c r="AY276" s="227"/>
    </row>
    <row r="277" spans="1:51" hidden="1" outlineLevel="1" x14ac:dyDescent="0.3">
      <c r="A277" s="159"/>
      <c r="B277" s="1190" t="s">
        <v>540</v>
      </c>
      <c r="C277" s="735" t="str">
        <f>'Optimalizačné opatrenia'!$B$2</f>
        <v>Modernizácia</v>
      </c>
      <c r="D277" s="741" t="s">
        <v>542</v>
      </c>
      <c r="E277" s="742" t="s">
        <v>542</v>
      </c>
      <c r="F277" s="773" t="s">
        <v>542</v>
      </c>
      <c r="G277" s="773" t="str">
        <f t="shared" ref="G277:G289" si="351">G207</f>
        <v>A</v>
      </c>
      <c r="H277" s="773"/>
      <c r="I277" s="773"/>
      <c r="J277" s="773"/>
      <c r="K277" s="773"/>
      <c r="L277" s="773" t="str">
        <f t="shared" ref="L277:M289" si="352">L263</f>
        <v>A</v>
      </c>
      <c r="M277" s="773" t="str">
        <f t="shared" si="352"/>
        <v>A</v>
      </c>
      <c r="N277" s="773" t="s">
        <v>542</v>
      </c>
      <c r="O277" s="773"/>
      <c r="P277" s="773" t="str">
        <f t="shared" ref="P277:R289" si="353">P207</f>
        <v>A</v>
      </c>
      <c r="Q277" s="773" t="str">
        <f t="shared" si="353"/>
        <v>A</v>
      </c>
      <c r="R277" s="773" t="str">
        <f t="shared" si="353"/>
        <v>A</v>
      </c>
      <c r="S277" s="773" t="str">
        <f t="shared" ref="S277:S289" si="354">R277</f>
        <v>A</v>
      </c>
      <c r="T277" s="773" t="str">
        <f t="shared" ref="T277:T289" si="355">R277</f>
        <v>A</v>
      </c>
      <c r="U277" s="773" t="str">
        <f t="shared" ref="U277:U289" si="356">G263</f>
        <v>A</v>
      </c>
      <c r="V277" s="773" t="str">
        <f t="shared" ref="V277:V289" si="357">V207</f>
        <v>A</v>
      </c>
      <c r="W277" s="773" t="str">
        <f t="shared" ref="W277:W289" si="358">W7</f>
        <v>A</v>
      </c>
      <c r="X277" s="773" t="str">
        <f t="shared" ref="X277:X289" si="359">G277</f>
        <v>A</v>
      </c>
      <c r="Y277" s="773" t="str">
        <f t="shared" ref="Y277:Y289" si="360">R277</f>
        <v>A</v>
      </c>
      <c r="Z277" s="773" t="str">
        <f t="shared" ref="Z277:Z289" si="361">R277</f>
        <v>A</v>
      </c>
      <c r="AA277" s="773" t="str">
        <f t="shared" ref="AA277:AA289" si="362">$V277</f>
        <v>A</v>
      </c>
      <c r="AB277" s="773" t="str">
        <f t="shared" ref="AB277:AB289" si="363">G277</f>
        <v>A</v>
      </c>
      <c r="AC277" s="773" t="str">
        <f t="shared" ref="AC277:AC289" si="364">R277</f>
        <v>A</v>
      </c>
      <c r="AD277" s="876"/>
      <c r="AE277" s="863"/>
      <c r="AF277" s="870"/>
      <c r="AG277" s="1019"/>
      <c r="AH277" s="802"/>
      <c r="AI277" s="803"/>
    </row>
    <row r="278" spans="1:51" hidden="1" outlineLevel="1" x14ac:dyDescent="0.3">
      <c r="A278" s="159"/>
      <c r="B278" s="1191"/>
      <c r="C278" s="735" t="str">
        <f>'Optimalizačné opatrenia'!$B$3</f>
        <v>Sfunkčnenie</v>
      </c>
      <c r="D278" s="788" t="s">
        <v>542</v>
      </c>
      <c r="E278" s="773" t="s">
        <v>542</v>
      </c>
      <c r="F278" s="773" t="s">
        <v>542</v>
      </c>
      <c r="G278" s="773" t="str">
        <f t="shared" si="351"/>
        <v>N</v>
      </c>
      <c r="H278" s="773"/>
      <c r="I278" s="773"/>
      <c r="J278" s="773"/>
      <c r="K278" s="773"/>
      <c r="L278" s="773" t="str">
        <f t="shared" si="352"/>
        <v>N</v>
      </c>
      <c r="M278" s="773" t="str">
        <f t="shared" si="352"/>
        <v>N</v>
      </c>
      <c r="N278" s="773" t="s">
        <v>542</v>
      </c>
      <c r="O278" s="773"/>
      <c r="P278" s="773" t="str">
        <f t="shared" si="353"/>
        <v>N</v>
      </c>
      <c r="Q278" s="773" t="str">
        <f t="shared" si="353"/>
        <v>N</v>
      </c>
      <c r="R278" s="773" t="str">
        <f t="shared" si="353"/>
        <v>N</v>
      </c>
      <c r="S278" s="773" t="str">
        <f t="shared" si="354"/>
        <v>N</v>
      </c>
      <c r="T278" s="773" t="str">
        <f t="shared" si="355"/>
        <v>N</v>
      </c>
      <c r="U278" s="773" t="str">
        <f t="shared" si="356"/>
        <v>N</v>
      </c>
      <c r="V278" s="773" t="str">
        <f t="shared" si="357"/>
        <v>N</v>
      </c>
      <c r="W278" s="773" t="str">
        <f t="shared" si="358"/>
        <v>N</v>
      </c>
      <c r="X278" s="773" t="str">
        <f t="shared" si="359"/>
        <v>N</v>
      </c>
      <c r="Y278" s="773" t="str">
        <f t="shared" si="360"/>
        <v>N</v>
      </c>
      <c r="Z278" s="773" t="str">
        <f t="shared" si="361"/>
        <v>N</v>
      </c>
      <c r="AA278" s="773" t="str">
        <f t="shared" si="362"/>
        <v>N</v>
      </c>
      <c r="AB278" s="773" t="str">
        <f t="shared" si="363"/>
        <v>N</v>
      </c>
      <c r="AC278" s="773" t="str">
        <f t="shared" si="364"/>
        <v>N</v>
      </c>
      <c r="AD278" s="876"/>
      <c r="AE278" s="863"/>
      <c r="AF278" s="870"/>
      <c r="AG278" s="1019"/>
      <c r="AH278" s="802"/>
      <c r="AI278" s="803"/>
    </row>
    <row r="279" spans="1:51" hidden="1" outlineLevel="1" x14ac:dyDescent="0.3">
      <c r="A279" s="159"/>
      <c r="B279" s="1191"/>
      <c r="C279" s="735" t="str">
        <f>'Optimalizačné opatrenia'!$B$4</f>
        <v>Zjednotenie</v>
      </c>
      <c r="D279" s="788" t="s">
        <v>542</v>
      </c>
      <c r="E279" s="773" t="s">
        <v>542</v>
      </c>
      <c r="F279" s="773" t="s">
        <v>542</v>
      </c>
      <c r="G279" s="773" t="str">
        <f t="shared" si="351"/>
        <v>A</v>
      </c>
      <c r="H279" s="773"/>
      <c r="I279" s="773"/>
      <c r="J279" s="773"/>
      <c r="K279" s="773"/>
      <c r="L279" s="773" t="str">
        <f t="shared" si="352"/>
        <v>A</v>
      </c>
      <c r="M279" s="773" t="str">
        <f t="shared" si="352"/>
        <v>A</v>
      </c>
      <c r="N279" s="773" t="s">
        <v>542</v>
      </c>
      <c r="O279" s="773"/>
      <c r="P279" s="773" t="str">
        <f t="shared" si="353"/>
        <v>A</v>
      </c>
      <c r="Q279" s="773" t="str">
        <f t="shared" si="353"/>
        <v>A</v>
      </c>
      <c r="R279" s="773" t="str">
        <f t="shared" si="353"/>
        <v>A</v>
      </c>
      <c r="S279" s="773" t="str">
        <f t="shared" si="354"/>
        <v>A</v>
      </c>
      <c r="T279" s="773" t="str">
        <f t="shared" si="355"/>
        <v>A</v>
      </c>
      <c r="U279" s="773" t="str">
        <f t="shared" si="356"/>
        <v>A</v>
      </c>
      <c r="V279" s="773" t="str">
        <f t="shared" si="357"/>
        <v>A</v>
      </c>
      <c r="W279" s="773" t="str">
        <f t="shared" si="358"/>
        <v>A</v>
      </c>
      <c r="X279" s="773" t="str">
        <f t="shared" si="359"/>
        <v>A</v>
      </c>
      <c r="Y279" s="773" t="str">
        <f t="shared" si="360"/>
        <v>A</v>
      </c>
      <c r="Z279" s="773" t="str">
        <f t="shared" si="361"/>
        <v>A</v>
      </c>
      <c r="AA279" s="773" t="str">
        <f t="shared" si="362"/>
        <v>A</v>
      </c>
      <c r="AB279" s="773" t="str">
        <f t="shared" si="363"/>
        <v>A</v>
      </c>
      <c r="AC279" s="773" t="str">
        <f t="shared" si="364"/>
        <v>A</v>
      </c>
      <c r="AD279" s="876"/>
      <c r="AE279" s="863"/>
      <c r="AF279" s="870"/>
      <c r="AG279" s="1019"/>
      <c r="AH279" s="802"/>
      <c r="AI279" s="803"/>
    </row>
    <row r="280" spans="1:51" hidden="1" outlineLevel="1" x14ac:dyDescent="0.3">
      <c r="A280" s="159"/>
      <c r="B280" s="1191"/>
      <c r="C280" s="735" t="str">
        <f>'Optimalizačné opatrenia'!$B$5</f>
        <v>Centralizácia</v>
      </c>
      <c r="D280" s="788" t="s">
        <v>542</v>
      </c>
      <c r="E280" s="773" t="s">
        <v>542</v>
      </c>
      <c r="F280" s="773" t="s">
        <v>542</v>
      </c>
      <c r="G280" s="773" t="str">
        <f t="shared" si="351"/>
        <v>A</v>
      </c>
      <c r="H280" s="773"/>
      <c r="I280" s="773"/>
      <c r="J280" s="773"/>
      <c r="K280" s="773"/>
      <c r="L280" s="773" t="str">
        <f t="shared" si="352"/>
        <v>A</v>
      </c>
      <c r="M280" s="773" t="str">
        <f t="shared" si="352"/>
        <v>A</v>
      </c>
      <c r="N280" s="773" t="s">
        <v>542</v>
      </c>
      <c r="O280" s="773"/>
      <c r="P280" s="773" t="str">
        <f t="shared" si="353"/>
        <v>A</v>
      </c>
      <c r="Q280" s="773" t="str">
        <f t="shared" si="353"/>
        <v>A</v>
      </c>
      <c r="R280" s="773" t="str">
        <f t="shared" si="353"/>
        <v>A</v>
      </c>
      <c r="S280" s="773" t="str">
        <f t="shared" si="354"/>
        <v>A</v>
      </c>
      <c r="T280" s="773" t="str">
        <f t="shared" si="355"/>
        <v>A</v>
      </c>
      <c r="U280" s="773" t="str">
        <f t="shared" si="356"/>
        <v>A</v>
      </c>
      <c r="V280" s="773" t="str">
        <f t="shared" si="357"/>
        <v>A</v>
      </c>
      <c r="W280" s="773" t="str">
        <f t="shared" si="358"/>
        <v>A</v>
      </c>
      <c r="X280" s="773" t="str">
        <f t="shared" si="359"/>
        <v>A</v>
      </c>
      <c r="Y280" s="773" t="str">
        <f t="shared" si="360"/>
        <v>A</v>
      </c>
      <c r="Z280" s="773" t="str">
        <f t="shared" si="361"/>
        <v>A</v>
      </c>
      <c r="AA280" s="773" t="str">
        <f t="shared" si="362"/>
        <v>A</v>
      </c>
      <c r="AB280" s="773" t="str">
        <f t="shared" si="363"/>
        <v>A</v>
      </c>
      <c r="AC280" s="773" t="str">
        <f t="shared" si="364"/>
        <v>A</v>
      </c>
      <c r="AD280" s="876"/>
      <c r="AE280" s="863"/>
      <c r="AF280" s="870"/>
      <c r="AG280" s="1019"/>
      <c r="AH280" s="802"/>
      <c r="AI280" s="803"/>
    </row>
    <row r="281" spans="1:51" hidden="1" outlineLevel="1" x14ac:dyDescent="0.3">
      <c r="A281" s="159"/>
      <c r="B281" s="1191"/>
      <c r="C281" s="735" t="str">
        <f>'Optimalizačné opatrenia'!$B$6</f>
        <v>Elektronizácia</v>
      </c>
      <c r="D281" s="788" t="s">
        <v>542</v>
      </c>
      <c r="E281" s="773" t="s">
        <v>542</v>
      </c>
      <c r="F281" s="773" t="s">
        <v>542</v>
      </c>
      <c r="G281" s="773" t="str">
        <f t="shared" si="351"/>
        <v>A</v>
      </c>
      <c r="H281" s="773"/>
      <c r="I281" s="773"/>
      <c r="J281" s="773"/>
      <c r="K281" s="773"/>
      <c r="L281" s="773" t="str">
        <f t="shared" si="352"/>
        <v>A</v>
      </c>
      <c r="M281" s="773" t="str">
        <f t="shared" si="352"/>
        <v>A</v>
      </c>
      <c r="N281" s="773" t="s">
        <v>542</v>
      </c>
      <c r="O281" s="773"/>
      <c r="P281" s="773" t="str">
        <f t="shared" si="353"/>
        <v>A</v>
      </c>
      <c r="Q281" s="773" t="str">
        <f t="shared" si="353"/>
        <v>A</v>
      </c>
      <c r="R281" s="773" t="str">
        <f t="shared" si="353"/>
        <v>A</v>
      </c>
      <c r="S281" s="773" t="str">
        <f t="shared" si="354"/>
        <v>A</v>
      </c>
      <c r="T281" s="773" t="str">
        <f t="shared" si="355"/>
        <v>A</v>
      </c>
      <c r="U281" s="773" t="str">
        <f t="shared" si="356"/>
        <v>A</v>
      </c>
      <c r="V281" s="773" t="str">
        <f t="shared" si="357"/>
        <v>A</v>
      </c>
      <c r="W281" s="773" t="str">
        <f t="shared" si="358"/>
        <v>A</v>
      </c>
      <c r="X281" s="773" t="str">
        <f t="shared" si="359"/>
        <v>A</v>
      </c>
      <c r="Y281" s="773" t="str">
        <f t="shared" si="360"/>
        <v>A</v>
      </c>
      <c r="Z281" s="773" t="str">
        <f t="shared" si="361"/>
        <v>A</v>
      </c>
      <c r="AA281" s="773" t="str">
        <f t="shared" si="362"/>
        <v>A</v>
      </c>
      <c r="AB281" s="773" t="str">
        <f t="shared" si="363"/>
        <v>A</v>
      </c>
      <c r="AC281" s="773" t="str">
        <f t="shared" si="364"/>
        <v>A</v>
      </c>
      <c r="AD281" s="876"/>
      <c r="AE281" s="863"/>
      <c r="AF281" s="870"/>
      <c r="AG281" s="1019"/>
      <c r="AH281" s="802"/>
      <c r="AI281" s="803"/>
    </row>
    <row r="282" spans="1:51" hidden="1" outlineLevel="1" x14ac:dyDescent="0.3">
      <c r="A282" s="159"/>
      <c r="B282" s="1191"/>
      <c r="C282" s="735" t="str">
        <f>'Optimalizačné opatrenia'!$B$7</f>
        <v>Automatizácia</v>
      </c>
      <c r="D282" s="788" t="s">
        <v>542</v>
      </c>
      <c r="E282" s="773" t="s">
        <v>542</v>
      </c>
      <c r="F282" s="773" t="s">
        <v>542</v>
      </c>
      <c r="G282" s="773" t="str">
        <f t="shared" si="351"/>
        <v>A</v>
      </c>
      <c r="H282" s="773"/>
      <c r="I282" s="773"/>
      <c r="J282" s="773"/>
      <c r="K282" s="773"/>
      <c r="L282" s="773" t="str">
        <f t="shared" si="352"/>
        <v>A</v>
      </c>
      <c r="M282" s="773" t="str">
        <f t="shared" si="352"/>
        <v>A</v>
      </c>
      <c r="N282" s="773" t="s">
        <v>542</v>
      </c>
      <c r="O282" s="773"/>
      <c r="P282" s="773" t="str">
        <f t="shared" si="353"/>
        <v>A</v>
      </c>
      <c r="Q282" s="773" t="str">
        <f t="shared" si="353"/>
        <v>A</v>
      </c>
      <c r="R282" s="773" t="str">
        <f t="shared" si="353"/>
        <v>A</v>
      </c>
      <c r="S282" s="773" t="str">
        <f t="shared" si="354"/>
        <v>A</v>
      </c>
      <c r="T282" s="773" t="str">
        <f t="shared" si="355"/>
        <v>A</v>
      </c>
      <c r="U282" s="773" t="str">
        <f t="shared" si="356"/>
        <v>A</v>
      </c>
      <c r="V282" s="773" t="str">
        <f t="shared" si="357"/>
        <v>A</v>
      </c>
      <c r="W282" s="773" t="str">
        <f t="shared" si="358"/>
        <v>A</v>
      </c>
      <c r="X282" s="773" t="str">
        <f t="shared" si="359"/>
        <v>A</v>
      </c>
      <c r="Y282" s="773" t="str">
        <f t="shared" si="360"/>
        <v>A</v>
      </c>
      <c r="Z282" s="773" t="str">
        <f t="shared" si="361"/>
        <v>A</v>
      </c>
      <c r="AA282" s="773" t="str">
        <f t="shared" si="362"/>
        <v>A</v>
      </c>
      <c r="AB282" s="773" t="str">
        <f t="shared" si="363"/>
        <v>A</v>
      </c>
      <c r="AC282" s="773" t="str">
        <f t="shared" si="364"/>
        <v>A</v>
      </c>
      <c r="AD282" s="876"/>
      <c r="AE282" s="863"/>
      <c r="AF282" s="870"/>
      <c r="AG282" s="1019"/>
      <c r="AH282" s="802"/>
      <c r="AI282" s="803"/>
    </row>
    <row r="283" spans="1:51" hidden="1" outlineLevel="1" x14ac:dyDescent="0.3">
      <c r="A283" s="159"/>
      <c r="B283" s="1191"/>
      <c r="C283" s="735" t="str">
        <f>'Optimalizačné opatrenia'!$B$8</f>
        <v>Bezpečnosť</v>
      </c>
      <c r="D283" s="788" t="s">
        <v>542</v>
      </c>
      <c r="E283" s="773" t="s">
        <v>542</v>
      </c>
      <c r="F283" s="773" t="s">
        <v>542</v>
      </c>
      <c r="G283" s="773" t="str">
        <f t="shared" si="351"/>
        <v>A</v>
      </c>
      <c r="H283" s="773"/>
      <c r="I283" s="773"/>
      <c r="J283" s="773"/>
      <c r="K283" s="773"/>
      <c r="L283" s="773" t="str">
        <f t="shared" si="352"/>
        <v>A</v>
      </c>
      <c r="M283" s="773" t="str">
        <f t="shared" si="352"/>
        <v>A</v>
      </c>
      <c r="N283" s="773" t="s">
        <v>542</v>
      </c>
      <c r="O283" s="773"/>
      <c r="P283" s="773" t="str">
        <f t="shared" si="353"/>
        <v>A</v>
      </c>
      <c r="Q283" s="773" t="str">
        <f t="shared" si="353"/>
        <v>A</v>
      </c>
      <c r="R283" s="773" t="str">
        <f t="shared" si="353"/>
        <v>A</v>
      </c>
      <c r="S283" s="773" t="str">
        <f t="shared" si="354"/>
        <v>A</v>
      </c>
      <c r="T283" s="773" t="str">
        <f t="shared" si="355"/>
        <v>A</v>
      </c>
      <c r="U283" s="773" t="str">
        <f t="shared" si="356"/>
        <v>A</v>
      </c>
      <c r="V283" s="773" t="str">
        <f t="shared" si="357"/>
        <v>A</v>
      </c>
      <c r="W283" s="773" t="str">
        <f t="shared" si="358"/>
        <v>A</v>
      </c>
      <c r="X283" s="773" t="str">
        <f t="shared" si="359"/>
        <v>A</v>
      </c>
      <c r="Y283" s="773" t="str">
        <f t="shared" si="360"/>
        <v>A</v>
      </c>
      <c r="Z283" s="773" t="str">
        <f t="shared" si="361"/>
        <v>A</v>
      </c>
      <c r="AA283" s="773" t="str">
        <f t="shared" si="362"/>
        <v>A</v>
      </c>
      <c r="AB283" s="773" t="str">
        <f t="shared" si="363"/>
        <v>A</v>
      </c>
      <c r="AC283" s="773" t="str">
        <f t="shared" si="364"/>
        <v>A</v>
      </c>
      <c r="AD283" s="876"/>
      <c r="AE283" s="863"/>
      <c r="AF283" s="870"/>
      <c r="AG283" s="1019"/>
      <c r="AH283" s="802"/>
      <c r="AI283" s="803"/>
    </row>
    <row r="284" spans="1:51" hidden="1" outlineLevel="1" x14ac:dyDescent="0.3">
      <c r="A284" s="159"/>
      <c r="B284" s="1191"/>
      <c r="C284" s="735" t="str">
        <f>'Optimalizačné opatrenia'!$B$9</f>
        <v>Auditovateľnosť</v>
      </c>
      <c r="D284" s="788" t="s">
        <v>542</v>
      </c>
      <c r="E284" s="773" t="s">
        <v>542</v>
      </c>
      <c r="F284" s="773" t="s">
        <v>542</v>
      </c>
      <c r="G284" s="773" t="str">
        <f t="shared" si="351"/>
        <v>A</v>
      </c>
      <c r="H284" s="773"/>
      <c r="I284" s="773"/>
      <c r="J284" s="773"/>
      <c r="K284" s="773"/>
      <c r="L284" s="773" t="str">
        <f t="shared" si="352"/>
        <v>A</v>
      </c>
      <c r="M284" s="773" t="str">
        <f t="shared" si="352"/>
        <v>A</v>
      </c>
      <c r="N284" s="773" t="s">
        <v>542</v>
      </c>
      <c r="O284" s="773"/>
      <c r="P284" s="773" t="str">
        <f t="shared" si="353"/>
        <v>A</v>
      </c>
      <c r="Q284" s="773" t="str">
        <f t="shared" si="353"/>
        <v>A</v>
      </c>
      <c r="R284" s="773" t="str">
        <f t="shared" si="353"/>
        <v>N</v>
      </c>
      <c r="S284" s="773" t="str">
        <f t="shared" si="354"/>
        <v>N</v>
      </c>
      <c r="T284" s="773" t="str">
        <f t="shared" si="355"/>
        <v>N</v>
      </c>
      <c r="U284" s="773" t="str">
        <f t="shared" si="356"/>
        <v>A</v>
      </c>
      <c r="V284" s="773" t="str">
        <f t="shared" si="357"/>
        <v>A</v>
      </c>
      <c r="W284" s="773" t="str">
        <f t="shared" si="358"/>
        <v>A</v>
      </c>
      <c r="X284" s="773" t="str">
        <f t="shared" si="359"/>
        <v>A</v>
      </c>
      <c r="Y284" s="773" t="str">
        <f t="shared" si="360"/>
        <v>N</v>
      </c>
      <c r="Z284" s="773" t="str">
        <f t="shared" si="361"/>
        <v>N</v>
      </c>
      <c r="AA284" s="773" t="str">
        <f t="shared" si="362"/>
        <v>A</v>
      </c>
      <c r="AB284" s="773" t="str">
        <f t="shared" si="363"/>
        <v>A</v>
      </c>
      <c r="AC284" s="773" t="str">
        <f t="shared" si="364"/>
        <v>N</v>
      </c>
      <c r="AD284" s="876"/>
      <c r="AE284" s="863"/>
      <c r="AF284" s="870"/>
      <c r="AG284" s="1019"/>
      <c r="AH284" s="802"/>
      <c r="AI284" s="803"/>
    </row>
    <row r="285" spans="1:51" hidden="1" outlineLevel="1" x14ac:dyDescent="0.3">
      <c r="A285" s="159"/>
      <c r="B285" s="1191"/>
      <c r="C285" s="735" t="str">
        <f>'Optimalizačné opatrenia'!$B$10</f>
        <v>Transparentnosť</v>
      </c>
      <c r="D285" s="788" t="s">
        <v>542</v>
      </c>
      <c r="E285" s="773" t="s">
        <v>542</v>
      </c>
      <c r="F285" s="773" t="s">
        <v>542</v>
      </c>
      <c r="G285" s="773" t="str">
        <f t="shared" si="351"/>
        <v>N</v>
      </c>
      <c r="H285" s="773"/>
      <c r="I285" s="773"/>
      <c r="J285" s="773"/>
      <c r="K285" s="773"/>
      <c r="L285" s="773" t="str">
        <f t="shared" si="352"/>
        <v>N</v>
      </c>
      <c r="M285" s="773" t="str">
        <f t="shared" si="352"/>
        <v>N</v>
      </c>
      <c r="N285" s="773" t="s">
        <v>542</v>
      </c>
      <c r="O285" s="773"/>
      <c r="P285" s="773" t="str">
        <f t="shared" si="353"/>
        <v>A</v>
      </c>
      <c r="Q285" s="773" t="str">
        <f t="shared" si="353"/>
        <v>N</v>
      </c>
      <c r="R285" s="773" t="str">
        <f t="shared" si="353"/>
        <v>N</v>
      </c>
      <c r="S285" s="773" t="str">
        <f t="shared" si="354"/>
        <v>N</v>
      </c>
      <c r="T285" s="773" t="str">
        <f t="shared" si="355"/>
        <v>N</v>
      </c>
      <c r="U285" s="773" t="str">
        <f t="shared" si="356"/>
        <v>N</v>
      </c>
      <c r="V285" s="773" t="str">
        <f t="shared" si="357"/>
        <v>A</v>
      </c>
      <c r="W285" s="773" t="str">
        <f t="shared" si="358"/>
        <v>N</v>
      </c>
      <c r="X285" s="773" t="str">
        <f t="shared" si="359"/>
        <v>N</v>
      </c>
      <c r="Y285" s="773" t="str">
        <f t="shared" si="360"/>
        <v>N</v>
      </c>
      <c r="Z285" s="773" t="str">
        <f t="shared" si="361"/>
        <v>N</v>
      </c>
      <c r="AA285" s="773" t="str">
        <f t="shared" si="362"/>
        <v>A</v>
      </c>
      <c r="AB285" s="773" t="str">
        <f t="shared" si="363"/>
        <v>N</v>
      </c>
      <c r="AC285" s="773" t="str">
        <f t="shared" si="364"/>
        <v>N</v>
      </c>
      <c r="AD285" s="876"/>
      <c r="AE285" s="863"/>
      <c r="AF285" s="870"/>
      <c r="AG285" s="1019"/>
      <c r="AH285" s="802"/>
      <c r="AI285" s="803"/>
    </row>
    <row r="286" spans="1:51" hidden="1" outlineLevel="1" x14ac:dyDescent="0.3">
      <c r="A286" s="159"/>
      <c r="B286" s="1191"/>
      <c r="C286" s="735" t="str">
        <f>'Optimalizačné opatrenia'!$B$11</f>
        <v>Analyzovatelnosť</v>
      </c>
      <c r="D286" s="788" t="s">
        <v>542</v>
      </c>
      <c r="E286" s="773" t="s">
        <v>542</v>
      </c>
      <c r="F286" s="773" t="s">
        <v>542</v>
      </c>
      <c r="G286" s="773" t="str">
        <f t="shared" si="351"/>
        <v>A</v>
      </c>
      <c r="H286" s="773"/>
      <c r="I286" s="773"/>
      <c r="J286" s="773"/>
      <c r="K286" s="773"/>
      <c r="L286" s="773" t="str">
        <f t="shared" si="352"/>
        <v>A</v>
      </c>
      <c r="M286" s="773" t="str">
        <f t="shared" si="352"/>
        <v>A</v>
      </c>
      <c r="N286" s="773" t="s">
        <v>542</v>
      </c>
      <c r="O286" s="773"/>
      <c r="P286" s="773" t="str">
        <f t="shared" si="353"/>
        <v>A</v>
      </c>
      <c r="Q286" s="773" t="str">
        <f t="shared" si="353"/>
        <v>A</v>
      </c>
      <c r="R286" s="773" t="str">
        <f t="shared" si="353"/>
        <v>N</v>
      </c>
      <c r="S286" s="773" t="str">
        <f t="shared" si="354"/>
        <v>N</v>
      </c>
      <c r="T286" s="773" t="str">
        <f t="shared" si="355"/>
        <v>N</v>
      </c>
      <c r="U286" s="773" t="str">
        <f t="shared" si="356"/>
        <v>A</v>
      </c>
      <c r="V286" s="773" t="str">
        <f t="shared" si="357"/>
        <v>A</v>
      </c>
      <c r="W286" s="773" t="str">
        <f t="shared" si="358"/>
        <v>A</v>
      </c>
      <c r="X286" s="773" t="str">
        <f t="shared" si="359"/>
        <v>A</v>
      </c>
      <c r="Y286" s="773" t="str">
        <f t="shared" si="360"/>
        <v>N</v>
      </c>
      <c r="Z286" s="773" t="str">
        <f t="shared" si="361"/>
        <v>N</v>
      </c>
      <c r="AA286" s="773" t="str">
        <f t="shared" si="362"/>
        <v>A</v>
      </c>
      <c r="AB286" s="773" t="str">
        <f t="shared" si="363"/>
        <v>A</v>
      </c>
      <c r="AC286" s="773" t="str">
        <f t="shared" si="364"/>
        <v>N</v>
      </c>
      <c r="AD286" s="876"/>
      <c r="AE286" s="863"/>
      <c r="AF286" s="870"/>
      <c r="AG286" s="1019"/>
      <c r="AH286" s="802"/>
      <c r="AI286" s="803"/>
    </row>
    <row r="287" spans="1:51" hidden="1" outlineLevel="1" x14ac:dyDescent="0.3">
      <c r="A287" s="159"/>
      <c r="B287" s="1191"/>
      <c r="C287" s="735" t="str">
        <f>'Optimalizačné opatrenia'!$B$12</f>
        <v>Integrácia</v>
      </c>
      <c r="D287" s="788" t="s">
        <v>542</v>
      </c>
      <c r="E287" s="773" t="s">
        <v>542</v>
      </c>
      <c r="F287" s="773" t="s">
        <v>542</v>
      </c>
      <c r="G287" s="773" t="str">
        <f t="shared" si="351"/>
        <v>A</v>
      </c>
      <c r="H287" s="773"/>
      <c r="I287" s="773"/>
      <c r="J287" s="773"/>
      <c r="K287" s="773"/>
      <c r="L287" s="773" t="str">
        <f t="shared" si="352"/>
        <v>A</v>
      </c>
      <c r="M287" s="773" t="str">
        <f t="shared" si="352"/>
        <v>A</v>
      </c>
      <c r="N287" s="773" t="s">
        <v>542</v>
      </c>
      <c r="O287" s="773"/>
      <c r="P287" s="773" t="str">
        <f t="shared" si="353"/>
        <v>A</v>
      </c>
      <c r="Q287" s="773" t="str">
        <f t="shared" si="353"/>
        <v>A</v>
      </c>
      <c r="R287" s="773" t="str">
        <f t="shared" si="353"/>
        <v>A</v>
      </c>
      <c r="S287" s="773" t="str">
        <f t="shared" si="354"/>
        <v>A</v>
      </c>
      <c r="T287" s="773" t="str">
        <f t="shared" si="355"/>
        <v>A</v>
      </c>
      <c r="U287" s="773" t="str">
        <f t="shared" si="356"/>
        <v>A</v>
      </c>
      <c r="V287" s="773" t="str">
        <f t="shared" si="357"/>
        <v>A</v>
      </c>
      <c r="W287" s="773" t="str">
        <f t="shared" si="358"/>
        <v>A</v>
      </c>
      <c r="X287" s="773" t="str">
        <f t="shared" si="359"/>
        <v>A</v>
      </c>
      <c r="Y287" s="773" t="str">
        <f t="shared" si="360"/>
        <v>A</v>
      </c>
      <c r="Z287" s="773" t="str">
        <f t="shared" si="361"/>
        <v>A</v>
      </c>
      <c r="AA287" s="773" t="str">
        <f t="shared" si="362"/>
        <v>A</v>
      </c>
      <c r="AB287" s="773" t="str">
        <f t="shared" si="363"/>
        <v>A</v>
      </c>
      <c r="AC287" s="773" t="str">
        <f t="shared" si="364"/>
        <v>A</v>
      </c>
      <c r="AD287" s="876"/>
      <c r="AE287" s="863"/>
      <c r="AF287" s="870"/>
      <c r="AG287" s="1019"/>
      <c r="AH287" s="802"/>
      <c r="AI287" s="803"/>
    </row>
    <row r="288" spans="1:51" hidden="1" outlineLevel="1" x14ac:dyDescent="0.3">
      <c r="A288" s="159"/>
      <c r="B288" s="1191"/>
      <c r="C288" s="740" t="str">
        <f>'Optimalizačné opatrenia'!$B$13</f>
        <v>Proaktivita</v>
      </c>
      <c r="D288" s="788" t="s">
        <v>542</v>
      </c>
      <c r="E288" s="773" t="s">
        <v>542</v>
      </c>
      <c r="F288" s="773" t="s">
        <v>542</v>
      </c>
      <c r="G288" s="773" t="str">
        <f t="shared" si="351"/>
        <v>N</v>
      </c>
      <c r="H288" s="773"/>
      <c r="I288" s="773"/>
      <c r="J288" s="773"/>
      <c r="K288" s="773"/>
      <c r="L288" s="773" t="str">
        <f t="shared" si="352"/>
        <v>A</v>
      </c>
      <c r="M288" s="773" t="str">
        <f t="shared" si="352"/>
        <v>N</v>
      </c>
      <c r="N288" s="773" t="s">
        <v>542</v>
      </c>
      <c r="O288" s="773"/>
      <c r="P288" s="773" t="str">
        <f t="shared" si="353"/>
        <v>N</v>
      </c>
      <c r="Q288" s="773" t="str">
        <f t="shared" si="353"/>
        <v>N</v>
      </c>
      <c r="R288" s="773" t="str">
        <f t="shared" si="353"/>
        <v>A</v>
      </c>
      <c r="S288" s="773" t="str">
        <f t="shared" si="354"/>
        <v>A</v>
      </c>
      <c r="T288" s="773" t="str">
        <f t="shared" si="355"/>
        <v>A</v>
      </c>
      <c r="U288" s="773" t="str">
        <f t="shared" si="356"/>
        <v>N</v>
      </c>
      <c r="V288" s="773" t="str">
        <f t="shared" si="357"/>
        <v>A</v>
      </c>
      <c r="W288" s="773" t="str">
        <f t="shared" si="358"/>
        <v>N</v>
      </c>
      <c r="X288" s="773" t="str">
        <f t="shared" si="359"/>
        <v>N</v>
      </c>
      <c r="Y288" s="773" t="str">
        <f t="shared" si="360"/>
        <v>A</v>
      </c>
      <c r="Z288" s="773" t="str">
        <f t="shared" si="361"/>
        <v>A</v>
      </c>
      <c r="AA288" s="773" t="str">
        <f t="shared" si="362"/>
        <v>A</v>
      </c>
      <c r="AB288" s="773" t="str">
        <f t="shared" si="363"/>
        <v>N</v>
      </c>
      <c r="AC288" s="773" t="str">
        <f t="shared" si="364"/>
        <v>A</v>
      </c>
      <c r="AD288" s="876"/>
      <c r="AE288" s="863"/>
      <c r="AF288" s="870"/>
      <c r="AG288" s="1019"/>
      <c r="AH288" s="802"/>
      <c r="AI288" s="803"/>
    </row>
    <row r="289" spans="1:51" hidden="1" outlineLevel="1" x14ac:dyDescent="0.3">
      <c r="A289" s="159"/>
      <c r="B289" s="790"/>
      <c r="C289" s="792" t="s">
        <v>550</v>
      </c>
      <c r="D289" s="793">
        <v>0</v>
      </c>
      <c r="E289" s="791">
        <v>0</v>
      </c>
      <c r="F289" s="794">
        <v>0</v>
      </c>
      <c r="G289" s="794">
        <f t="shared" si="351"/>
        <v>0.3</v>
      </c>
      <c r="H289" s="794"/>
      <c r="I289" s="794"/>
      <c r="J289" s="794"/>
      <c r="K289" s="794"/>
      <c r="L289" s="794">
        <f t="shared" si="352"/>
        <v>0.4</v>
      </c>
      <c r="M289" s="794">
        <f t="shared" si="352"/>
        <v>0.3</v>
      </c>
      <c r="N289" s="794">
        <v>0</v>
      </c>
      <c r="O289" s="794"/>
      <c r="P289" s="794">
        <f t="shared" si="353"/>
        <v>0.45</v>
      </c>
      <c r="Q289" s="794">
        <f t="shared" si="353"/>
        <v>0.3</v>
      </c>
      <c r="R289" s="794">
        <f t="shared" si="353"/>
        <v>0.25</v>
      </c>
      <c r="S289" s="794">
        <f t="shared" si="354"/>
        <v>0.25</v>
      </c>
      <c r="T289" s="794">
        <f t="shared" si="355"/>
        <v>0.25</v>
      </c>
      <c r="U289" s="794">
        <f t="shared" si="356"/>
        <v>0.3</v>
      </c>
      <c r="V289" s="794">
        <f t="shared" si="357"/>
        <v>0.5</v>
      </c>
      <c r="W289" s="794">
        <f t="shared" si="358"/>
        <v>0.3</v>
      </c>
      <c r="X289" s="794">
        <f t="shared" si="359"/>
        <v>0.3</v>
      </c>
      <c r="Y289" s="794">
        <f t="shared" si="360"/>
        <v>0.25</v>
      </c>
      <c r="Z289" s="794">
        <f t="shared" si="361"/>
        <v>0.25</v>
      </c>
      <c r="AA289" s="794">
        <f t="shared" si="362"/>
        <v>0.5</v>
      </c>
      <c r="AB289" s="794">
        <f t="shared" si="363"/>
        <v>0.3</v>
      </c>
      <c r="AC289" s="794">
        <f t="shared" si="364"/>
        <v>0.25</v>
      </c>
      <c r="AD289" s="877"/>
      <c r="AE289" s="864"/>
      <c r="AF289" s="871"/>
      <c r="AG289" s="1020"/>
      <c r="AH289" s="805"/>
      <c r="AI289" s="806"/>
    </row>
    <row r="290" spans="1:51" ht="15" collapsed="1" thickBot="1" x14ac:dyDescent="0.35">
      <c r="A290" s="159"/>
      <c r="B290" s="811"/>
      <c r="C290" s="812" t="s">
        <v>601</v>
      </c>
      <c r="D290" s="813"/>
      <c r="E290" s="813"/>
      <c r="F290" s="813"/>
      <c r="G290" s="814"/>
      <c r="H290" s="814"/>
      <c r="I290" s="814"/>
      <c r="J290" s="814"/>
      <c r="K290" s="814"/>
      <c r="L290" s="814"/>
      <c r="M290" s="814"/>
      <c r="N290" s="814"/>
      <c r="O290" s="814"/>
      <c r="P290" s="814"/>
      <c r="Q290" s="814"/>
      <c r="R290" s="814"/>
      <c r="S290" s="814"/>
      <c r="T290" s="814"/>
      <c r="U290" s="814"/>
      <c r="V290" s="814"/>
      <c r="W290" s="814"/>
      <c r="X290" s="814"/>
      <c r="Y290" s="814"/>
      <c r="Z290" s="814"/>
      <c r="AA290" s="814"/>
      <c r="AB290" s="814"/>
      <c r="AC290" s="814"/>
      <c r="AD290" s="821"/>
      <c r="AE290" s="865"/>
      <c r="AF290" s="872">
        <f>'Procesy - AS IS'!AG70/(1+$AE191)-'Procesy - AS IS'!AG70</f>
        <v>39.655273531932409</v>
      </c>
      <c r="AG290" s="1021">
        <f>'Procesy - AS IS'!AH70/(1+$AE191)-'Procesy - AS IS'!AH70</f>
        <v>2.0487758382541594</v>
      </c>
      <c r="AH290" s="816">
        <f>'Procesy - AS IS'!AI70/(1+$AE191)-'Procesy - AS IS'!AI70</f>
        <v>1.2296208847110819</v>
      </c>
      <c r="AI290" s="817">
        <f>'Procesy - AS IS'!AJ51/(1+$AE191)-'Procesy - AS IS'!AJ51</f>
        <v>1.5370261058888532</v>
      </c>
    </row>
    <row r="291" spans="1:51" x14ac:dyDescent="0.3">
      <c r="A291" s="159"/>
      <c r="B291" s="725" t="str">
        <f>'Procesy - AS IS'!B71</f>
        <v>Zdroj 4</v>
      </c>
      <c r="C291" s="726" t="str">
        <f>'Procesy - AS IS'!C71</f>
        <v>Inšpekcia ochrany prírody a krajiny</v>
      </c>
      <c r="D291" s="796">
        <f t="shared" ref="D291:G291" si="365">D292*$AF292/($AF291-$AF348)+D306*$AF306/($AF291-$AF348)+D320*$AF320/($AF291-$AF348)+D334*$AF334/($AF291-$AF348)</f>
        <v>0</v>
      </c>
      <c r="E291" s="719">
        <f t="shared" si="365"/>
        <v>0</v>
      </c>
      <c r="F291" s="719">
        <f t="shared" si="365"/>
        <v>0</v>
      </c>
      <c r="G291" s="729">
        <f t="shared" si="365"/>
        <v>-1.0788253456046115</v>
      </c>
      <c r="H291" s="722"/>
      <c r="I291" s="722"/>
      <c r="J291" s="722"/>
      <c r="K291" s="722"/>
      <c r="L291" s="729">
        <f t="shared" ref="L291:N291" si="366">L292*$AF292/($AF291-$AF348)+L306*$AF306/($AF291-$AF348)+L320*$AF320/($AF291-$AF348)+L334*$AF334/($AF291-$AF348)</f>
        <v>-5.0102332980453107E-2</v>
      </c>
      <c r="M291" s="729">
        <f t="shared" si="366"/>
        <v>0</v>
      </c>
      <c r="N291" s="719">
        <f t="shared" si="366"/>
        <v>0</v>
      </c>
      <c r="O291" s="719"/>
      <c r="P291" s="719">
        <f t="shared" ref="P291:AB291" si="367">P292*$AF292/($AF291-$AF348)+P306*$AF306/($AF291-$AF348)+P320*$AF320/($AF291-$AF348)+P334*$AF334/($AF291-$AF348)</f>
        <v>-1.0801896714073658</v>
      </c>
      <c r="Q291" s="719">
        <f t="shared" si="367"/>
        <v>0</v>
      </c>
      <c r="R291" s="719">
        <f t="shared" si="367"/>
        <v>-6.2879436547167487</v>
      </c>
      <c r="S291" s="719">
        <f t="shared" si="367"/>
        <v>-1.2309907282315722</v>
      </c>
      <c r="T291" s="719">
        <f t="shared" si="367"/>
        <v>-2.6457649826268477</v>
      </c>
      <c r="U291" s="719">
        <f t="shared" si="367"/>
        <v>-0.20599200586324068</v>
      </c>
      <c r="V291" s="719">
        <f t="shared" si="367"/>
        <v>-0.37611167257446926</v>
      </c>
      <c r="W291" s="719">
        <f t="shared" si="367"/>
        <v>-7.2851095326977783E-2</v>
      </c>
      <c r="X291" s="719">
        <f t="shared" si="367"/>
        <v>0</v>
      </c>
      <c r="Y291" s="719">
        <f t="shared" si="367"/>
        <v>-2.7828050164935698</v>
      </c>
      <c r="Z291" s="719">
        <f t="shared" si="367"/>
        <v>-7.7303648236074635E-3</v>
      </c>
      <c r="AA291" s="719">
        <f t="shared" si="367"/>
        <v>-1.9325912059018659E-2</v>
      </c>
      <c r="AB291" s="719">
        <f t="shared" si="367"/>
        <v>-6.329061742148101E-2</v>
      </c>
      <c r="AC291" s="720">
        <f>AC292*$AF292/($AF291-$AF348)+AC306*$AF306/($AF291-$AF348)+AC320*$AF320/($AF291-$AF348)+AC334*$AF334/($AF291-$AF348)</f>
        <v>-0.53214162443607393</v>
      </c>
      <c r="AD291" s="822">
        <f>SUM(AD292:AD347)</f>
        <v>-77.576103557459504</v>
      </c>
      <c r="AE291" s="862">
        <f>-SUM(AF292:AF347)/('Procesy - AS IS'!AG71+SUM(AF292:AF347))</f>
        <v>-0.39291525238818048</v>
      </c>
      <c r="AF291" s="873">
        <f>SUM(AF292:AF348)</f>
        <v>334.61091928894706</v>
      </c>
      <c r="AG291" s="1022">
        <f>SUM(AG292:AG348)</f>
        <v>184.43788605401548</v>
      </c>
      <c r="AH291" s="800">
        <f>SUM(AH292:AH348)</f>
        <v>108.01296230695041</v>
      </c>
      <c r="AI291" s="808">
        <f>SUM(AI292:AI348)</f>
        <v>12.933322400331164</v>
      </c>
      <c r="AK291" s="232"/>
      <c r="AL291"/>
      <c r="AY291" s="227"/>
    </row>
    <row r="292" spans="1:51" ht="28.8" x14ac:dyDescent="0.3">
      <c r="A292" s="159">
        <f ca="1">OFFSET(A292,-16,0)+1</f>
        <v>21</v>
      </c>
      <c r="B292" s="736" t="str">
        <f ca="1">'Procesy - AS IS'!B72</f>
        <v>Meranie č. 21</v>
      </c>
      <c r="C292" s="739" t="str">
        <f>'Procesy - AS IS'!C72</f>
        <v>Eko-Donau s.r.o., Preverenie legálnosti výrubu drevín, 5442/2018</v>
      </c>
      <c r="D292" s="796">
        <f>-'Procesy - AS IS'!D74*D305</f>
        <v>0</v>
      </c>
      <c r="E292" s="721">
        <f>-'Procesy - AS IS'!E74*E305</f>
        <v>0</v>
      </c>
      <c r="F292" s="721">
        <f>-'Procesy - AS IS'!F74*F305</f>
        <v>0</v>
      </c>
      <c r="G292" s="721">
        <f>-'Procesy - AS IS'!G74*G305</f>
        <v>-1.2</v>
      </c>
      <c r="H292" s="721" t="s">
        <v>568</v>
      </c>
      <c r="I292" s="721" t="s">
        <v>568</v>
      </c>
      <c r="J292" s="721" t="s">
        <v>568</v>
      </c>
      <c r="K292" s="721" t="s">
        <v>568</v>
      </c>
      <c r="L292" s="721">
        <f>-'Procesy - AS IS'!L74*L305</f>
        <v>-6.25E-2</v>
      </c>
      <c r="M292" s="721">
        <f>-'Procesy - AS IS'!M74*M305</f>
        <v>0</v>
      </c>
      <c r="N292" s="721">
        <f>-'Procesy - AS IS'!N74*N305</f>
        <v>0</v>
      </c>
      <c r="O292" s="721" t="s">
        <v>572</v>
      </c>
      <c r="P292" s="721">
        <f>-'Procesy - AS IS'!P74*P305</f>
        <v>-1.35</v>
      </c>
      <c r="Q292" s="721">
        <f>-'Procesy - AS IS'!Q74*Q305</f>
        <v>0</v>
      </c>
      <c r="R292" s="721">
        <f>-'Procesy - AS IS'!R74*R305</f>
        <v>-5.2532687651331731</v>
      </c>
      <c r="S292" s="721">
        <f>-'Procesy - AS IS'!S74*S305</f>
        <v>-0.1811138014527845</v>
      </c>
      <c r="T292" s="721">
        <f>-'Procesy - AS IS'!T74*T305</f>
        <v>-2.6266343825665865</v>
      </c>
      <c r="U292" s="721">
        <f>-'Procesy - AS IS'!U74*U305</f>
        <v>0</v>
      </c>
      <c r="V292" s="721">
        <f>-'Procesy - AS IS'!V74*V305</f>
        <v>-0.25</v>
      </c>
      <c r="W292" s="721">
        <f>-'Procesy - AS IS'!W74*W305</f>
        <v>-4.6125907990314768E-2</v>
      </c>
      <c r="X292" s="721">
        <f>-'Procesy - AS IS'!X74*X305</f>
        <v>0</v>
      </c>
      <c r="Y292" s="721">
        <f>-'Procesy - AS IS'!Y74*Y305</f>
        <v>-2.460048426150121</v>
      </c>
      <c r="Z292" s="721">
        <f>-'Procesy - AS IS'!Z74*Z305</f>
        <v>-7.2639225181598058E-3</v>
      </c>
      <c r="AA292" s="721">
        <f>-'Procesy - AS IS'!AA74*AA305</f>
        <v>-1.8159806295399514E-2</v>
      </c>
      <c r="AB292" s="721">
        <f>-'Procesy - AS IS'!AB74*AB305</f>
        <v>-0.13075060532687652</v>
      </c>
      <c r="AC292" s="721">
        <f>-'Procesy - AS IS'!AC74*AC305</f>
        <v>-0.58111380145278446</v>
      </c>
      <c r="AD292" s="824">
        <f>SUM(D292:AC292)</f>
        <v>-14.166979418886198</v>
      </c>
      <c r="AE292" s="798">
        <f>AD292/'Procesy - AS IS'!AD74</f>
        <v>-0.39189956295316397</v>
      </c>
      <c r="AF292" s="869">
        <f>('Procesy - AS IS'!AG74/(1+$AE292)-'Procesy - AS IS'!AG74)/2</f>
        <v>133.08206148122753</v>
      </c>
      <c r="AG292" s="1018">
        <f>('Procesy - AS IS'!AH74/(1+$AE292)-'Procesy - AS IS'!AH74)/2</f>
        <v>72.824566331131763</v>
      </c>
      <c r="AH292" s="800">
        <f>('Procesy - AS IS'!AI74/(1+$AE292)-'Procesy - AS IS'!AI74)/2</f>
        <v>40.923539486963421</v>
      </c>
      <c r="AI292" s="801">
        <f>('Procesy - AS IS'!AJ74/(1+$AE292)-'Procesy - AS IS'!AJ74)/2</f>
        <v>4.8334889157830823</v>
      </c>
      <c r="AK292" s="232"/>
      <c r="AY292" s="227"/>
    </row>
    <row r="293" spans="1:51" hidden="1" outlineLevel="1" x14ac:dyDescent="0.3">
      <c r="A293" s="159"/>
      <c r="B293" s="1190" t="s">
        <v>540</v>
      </c>
      <c r="C293" s="735" t="str">
        <f>'Optimalizačné opatrenia'!$B$2</f>
        <v>Modernizácia</v>
      </c>
      <c r="D293" s="788" t="s">
        <v>542</v>
      </c>
      <c r="E293" s="773" t="s">
        <v>542</v>
      </c>
      <c r="F293" s="773" t="s">
        <v>542</v>
      </c>
      <c r="G293" s="773" t="str">
        <f t="shared" ref="G293:G305" si="368">G77</f>
        <v>A</v>
      </c>
      <c r="H293" s="773"/>
      <c r="I293" s="773"/>
      <c r="J293" s="773"/>
      <c r="K293" s="773"/>
      <c r="L293" s="773" t="str">
        <f t="shared" ref="L293:L305" si="369">R207</f>
        <v>A</v>
      </c>
      <c r="M293" s="773" t="s">
        <v>542</v>
      </c>
      <c r="N293" s="773" t="s">
        <v>542</v>
      </c>
      <c r="O293" s="773"/>
      <c r="P293" s="773" t="str">
        <f t="shared" ref="P293:P305" si="370">P277</f>
        <v>A</v>
      </c>
      <c r="Q293" s="773" t="str">
        <f t="shared" ref="Q293:Q305" si="371">G293</f>
        <v>A</v>
      </c>
      <c r="R293" s="773" t="str">
        <f t="shared" ref="R293:R305" si="372">R163</f>
        <v>A</v>
      </c>
      <c r="S293" s="773" t="str">
        <f t="shared" ref="S293:S305" si="373">R293</f>
        <v>A</v>
      </c>
      <c r="T293" s="773" t="str">
        <f t="shared" ref="T293:T305" si="374">R293</f>
        <v>A</v>
      </c>
      <c r="U293" s="773" t="str">
        <f t="shared" ref="U293:U305" si="375">G293</f>
        <v>A</v>
      </c>
      <c r="V293" s="773" t="str">
        <f t="shared" ref="V293:W305" si="376">V7</f>
        <v>A</v>
      </c>
      <c r="W293" s="773" t="str">
        <f t="shared" si="376"/>
        <v>A</v>
      </c>
      <c r="X293" s="773" t="str">
        <f t="shared" ref="X293:X305" si="377">G293</f>
        <v>A</v>
      </c>
      <c r="Y293" s="773" t="str">
        <f t="shared" ref="Y293:Y305" si="378">R293</f>
        <v>A</v>
      </c>
      <c r="Z293" s="773" t="str">
        <f t="shared" ref="Z293:Z305" si="379">R293</f>
        <v>A</v>
      </c>
      <c r="AA293" s="773" t="str">
        <f t="shared" ref="AA293:AA305" si="380">$V293</f>
        <v>A</v>
      </c>
      <c r="AB293" s="773" t="str">
        <f t="shared" ref="AB293:AB305" si="381">G293</f>
        <v>A</v>
      </c>
      <c r="AC293" s="773" t="str">
        <f t="shared" ref="AC293:AC305" si="382">R293</f>
        <v>A</v>
      </c>
      <c r="AD293" s="876"/>
      <c r="AE293" s="863"/>
      <c r="AF293" s="870"/>
      <c r="AG293" s="1019"/>
      <c r="AH293" s="802"/>
      <c r="AI293" s="803"/>
    </row>
    <row r="294" spans="1:51" hidden="1" outlineLevel="1" x14ac:dyDescent="0.3">
      <c r="A294" s="159"/>
      <c r="B294" s="1191"/>
      <c r="C294" s="735" t="str">
        <f>'Optimalizačné opatrenia'!$B$3</f>
        <v>Sfunkčnenie</v>
      </c>
      <c r="D294" s="788" t="s">
        <v>542</v>
      </c>
      <c r="E294" s="773" t="s">
        <v>542</v>
      </c>
      <c r="F294" s="773" t="s">
        <v>542</v>
      </c>
      <c r="G294" s="773" t="str">
        <f t="shared" si="368"/>
        <v>N</v>
      </c>
      <c r="H294" s="773"/>
      <c r="I294" s="773"/>
      <c r="J294" s="773"/>
      <c r="K294" s="773"/>
      <c r="L294" s="773" t="str">
        <f t="shared" si="369"/>
        <v>N</v>
      </c>
      <c r="M294" s="773" t="s">
        <v>542</v>
      </c>
      <c r="N294" s="773" t="s">
        <v>542</v>
      </c>
      <c r="O294" s="773"/>
      <c r="P294" s="773" t="str">
        <f t="shared" si="370"/>
        <v>N</v>
      </c>
      <c r="Q294" s="773" t="str">
        <f t="shared" si="371"/>
        <v>N</v>
      </c>
      <c r="R294" s="773" t="str">
        <f t="shared" si="372"/>
        <v>N</v>
      </c>
      <c r="S294" s="773" t="str">
        <f t="shared" si="373"/>
        <v>N</v>
      </c>
      <c r="T294" s="773" t="str">
        <f t="shared" si="374"/>
        <v>N</v>
      </c>
      <c r="U294" s="773" t="str">
        <f t="shared" si="375"/>
        <v>N</v>
      </c>
      <c r="V294" s="773" t="str">
        <f t="shared" si="376"/>
        <v>N</v>
      </c>
      <c r="W294" s="773" t="str">
        <f t="shared" si="376"/>
        <v>N</v>
      </c>
      <c r="X294" s="773" t="str">
        <f t="shared" si="377"/>
        <v>N</v>
      </c>
      <c r="Y294" s="773" t="str">
        <f t="shared" si="378"/>
        <v>N</v>
      </c>
      <c r="Z294" s="773" t="str">
        <f t="shared" si="379"/>
        <v>N</v>
      </c>
      <c r="AA294" s="773" t="str">
        <f t="shared" si="380"/>
        <v>N</v>
      </c>
      <c r="AB294" s="773" t="str">
        <f t="shared" si="381"/>
        <v>N</v>
      </c>
      <c r="AC294" s="773" t="str">
        <f t="shared" si="382"/>
        <v>N</v>
      </c>
      <c r="AD294" s="876"/>
      <c r="AE294" s="863"/>
      <c r="AF294" s="870"/>
      <c r="AG294" s="1019"/>
      <c r="AH294" s="802"/>
      <c r="AI294" s="803"/>
    </row>
    <row r="295" spans="1:51" hidden="1" outlineLevel="1" x14ac:dyDescent="0.3">
      <c r="A295" s="159"/>
      <c r="B295" s="1191"/>
      <c r="C295" s="735" t="str">
        <f>'Optimalizačné opatrenia'!$B$4</f>
        <v>Zjednotenie</v>
      </c>
      <c r="D295" s="788" t="s">
        <v>542</v>
      </c>
      <c r="E295" s="773" t="s">
        <v>542</v>
      </c>
      <c r="F295" s="773" t="s">
        <v>542</v>
      </c>
      <c r="G295" s="773" t="str">
        <f t="shared" si="368"/>
        <v>A</v>
      </c>
      <c r="H295" s="773"/>
      <c r="I295" s="773"/>
      <c r="J295" s="773"/>
      <c r="K295" s="773"/>
      <c r="L295" s="773" t="str">
        <f t="shared" si="369"/>
        <v>A</v>
      </c>
      <c r="M295" s="773" t="s">
        <v>542</v>
      </c>
      <c r="N295" s="773" t="s">
        <v>542</v>
      </c>
      <c r="O295" s="773"/>
      <c r="P295" s="773" t="str">
        <f t="shared" si="370"/>
        <v>A</v>
      </c>
      <c r="Q295" s="773" t="str">
        <f t="shared" si="371"/>
        <v>A</v>
      </c>
      <c r="R295" s="773" t="str">
        <f t="shared" si="372"/>
        <v>A</v>
      </c>
      <c r="S295" s="773" t="str">
        <f t="shared" si="373"/>
        <v>A</v>
      </c>
      <c r="T295" s="773" t="str">
        <f t="shared" si="374"/>
        <v>A</v>
      </c>
      <c r="U295" s="773" t="str">
        <f t="shared" si="375"/>
        <v>A</v>
      </c>
      <c r="V295" s="773" t="str">
        <f t="shared" si="376"/>
        <v>A</v>
      </c>
      <c r="W295" s="773" t="str">
        <f t="shared" si="376"/>
        <v>A</v>
      </c>
      <c r="X295" s="773" t="str">
        <f t="shared" si="377"/>
        <v>A</v>
      </c>
      <c r="Y295" s="773" t="str">
        <f t="shared" si="378"/>
        <v>A</v>
      </c>
      <c r="Z295" s="773" t="str">
        <f t="shared" si="379"/>
        <v>A</v>
      </c>
      <c r="AA295" s="773" t="str">
        <f t="shared" si="380"/>
        <v>A</v>
      </c>
      <c r="AB295" s="773" t="str">
        <f t="shared" si="381"/>
        <v>A</v>
      </c>
      <c r="AC295" s="773" t="str">
        <f t="shared" si="382"/>
        <v>A</v>
      </c>
      <c r="AD295" s="876"/>
      <c r="AE295" s="863"/>
      <c r="AF295" s="870"/>
      <c r="AG295" s="1019"/>
      <c r="AH295" s="802"/>
      <c r="AI295" s="803"/>
    </row>
    <row r="296" spans="1:51" hidden="1" outlineLevel="1" x14ac:dyDescent="0.3">
      <c r="A296" s="159"/>
      <c r="B296" s="1191"/>
      <c r="C296" s="735" t="str">
        <f>'Optimalizačné opatrenia'!$B$5</f>
        <v>Centralizácia</v>
      </c>
      <c r="D296" s="788" t="s">
        <v>542</v>
      </c>
      <c r="E296" s="773" t="s">
        <v>542</v>
      </c>
      <c r="F296" s="773" t="s">
        <v>542</v>
      </c>
      <c r="G296" s="773" t="str">
        <f t="shared" si="368"/>
        <v>A</v>
      </c>
      <c r="H296" s="773"/>
      <c r="I296" s="773"/>
      <c r="J296" s="773"/>
      <c r="K296" s="773"/>
      <c r="L296" s="773" t="str">
        <f t="shared" si="369"/>
        <v>A</v>
      </c>
      <c r="M296" s="773" t="s">
        <v>542</v>
      </c>
      <c r="N296" s="773" t="s">
        <v>542</v>
      </c>
      <c r="O296" s="773"/>
      <c r="P296" s="773" t="str">
        <f t="shared" si="370"/>
        <v>A</v>
      </c>
      <c r="Q296" s="773" t="str">
        <f t="shared" si="371"/>
        <v>A</v>
      </c>
      <c r="R296" s="773" t="str">
        <f t="shared" si="372"/>
        <v>A</v>
      </c>
      <c r="S296" s="773" t="str">
        <f t="shared" si="373"/>
        <v>A</v>
      </c>
      <c r="T296" s="773" t="str">
        <f t="shared" si="374"/>
        <v>A</v>
      </c>
      <c r="U296" s="773" t="str">
        <f t="shared" si="375"/>
        <v>A</v>
      </c>
      <c r="V296" s="773" t="str">
        <f t="shared" si="376"/>
        <v>A</v>
      </c>
      <c r="W296" s="773" t="str">
        <f t="shared" si="376"/>
        <v>A</v>
      </c>
      <c r="X296" s="773" t="str">
        <f t="shared" si="377"/>
        <v>A</v>
      </c>
      <c r="Y296" s="773" t="str">
        <f t="shared" si="378"/>
        <v>A</v>
      </c>
      <c r="Z296" s="773" t="str">
        <f t="shared" si="379"/>
        <v>A</v>
      </c>
      <c r="AA296" s="773" t="str">
        <f t="shared" si="380"/>
        <v>A</v>
      </c>
      <c r="AB296" s="773" t="str">
        <f t="shared" si="381"/>
        <v>A</v>
      </c>
      <c r="AC296" s="773" t="str">
        <f t="shared" si="382"/>
        <v>A</v>
      </c>
      <c r="AD296" s="876"/>
      <c r="AE296" s="863"/>
      <c r="AF296" s="870"/>
      <c r="AG296" s="1019"/>
      <c r="AH296" s="802"/>
      <c r="AI296" s="803"/>
    </row>
    <row r="297" spans="1:51" hidden="1" outlineLevel="1" x14ac:dyDescent="0.3">
      <c r="A297" s="159"/>
      <c r="B297" s="1191"/>
      <c r="C297" s="735" t="str">
        <f>'Optimalizačné opatrenia'!$B$6</f>
        <v>Elektronizácia</v>
      </c>
      <c r="D297" s="788" t="s">
        <v>542</v>
      </c>
      <c r="E297" s="773" t="s">
        <v>542</v>
      </c>
      <c r="F297" s="773" t="s">
        <v>542</v>
      </c>
      <c r="G297" s="773" t="str">
        <f t="shared" si="368"/>
        <v>A</v>
      </c>
      <c r="H297" s="773"/>
      <c r="I297" s="773"/>
      <c r="J297" s="773"/>
      <c r="K297" s="773"/>
      <c r="L297" s="773" t="str">
        <f t="shared" si="369"/>
        <v>A</v>
      </c>
      <c r="M297" s="773" t="s">
        <v>542</v>
      </c>
      <c r="N297" s="773" t="s">
        <v>542</v>
      </c>
      <c r="O297" s="773"/>
      <c r="P297" s="773" t="str">
        <f t="shared" si="370"/>
        <v>A</v>
      </c>
      <c r="Q297" s="773" t="str">
        <f t="shared" si="371"/>
        <v>A</v>
      </c>
      <c r="R297" s="773" t="str">
        <f t="shared" si="372"/>
        <v>A</v>
      </c>
      <c r="S297" s="773" t="str">
        <f t="shared" si="373"/>
        <v>A</v>
      </c>
      <c r="T297" s="773" t="str">
        <f t="shared" si="374"/>
        <v>A</v>
      </c>
      <c r="U297" s="773" t="str">
        <f t="shared" si="375"/>
        <v>A</v>
      </c>
      <c r="V297" s="773" t="str">
        <f t="shared" si="376"/>
        <v>A</v>
      </c>
      <c r="W297" s="773" t="str">
        <f t="shared" si="376"/>
        <v>A</v>
      </c>
      <c r="X297" s="773" t="str">
        <f t="shared" si="377"/>
        <v>A</v>
      </c>
      <c r="Y297" s="773" t="str">
        <f t="shared" si="378"/>
        <v>A</v>
      </c>
      <c r="Z297" s="773" t="str">
        <f t="shared" si="379"/>
        <v>A</v>
      </c>
      <c r="AA297" s="773" t="str">
        <f t="shared" si="380"/>
        <v>A</v>
      </c>
      <c r="AB297" s="773" t="str">
        <f t="shared" si="381"/>
        <v>A</v>
      </c>
      <c r="AC297" s="773" t="str">
        <f t="shared" si="382"/>
        <v>A</v>
      </c>
      <c r="AD297" s="876"/>
      <c r="AE297" s="863"/>
      <c r="AF297" s="870"/>
      <c r="AG297" s="1019"/>
      <c r="AH297" s="802"/>
      <c r="AI297" s="803"/>
    </row>
    <row r="298" spans="1:51" hidden="1" outlineLevel="1" x14ac:dyDescent="0.3">
      <c r="A298" s="159"/>
      <c r="B298" s="1191"/>
      <c r="C298" s="735" t="str">
        <f>'Optimalizačné opatrenia'!$B$7</f>
        <v>Automatizácia</v>
      </c>
      <c r="D298" s="788" t="s">
        <v>542</v>
      </c>
      <c r="E298" s="773" t="s">
        <v>542</v>
      </c>
      <c r="F298" s="773" t="s">
        <v>542</v>
      </c>
      <c r="G298" s="773" t="str">
        <f t="shared" si="368"/>
        <v>A</v>
      </c>
      <c r="H298" s="773"/>
      <c r="I298" s="773"/>
      <c r="J298" s="773"/>
      <c r="K298" s="773"/>
      <c r="L298" s="773" t="str">
        <f t="shared" si="369"/>
        <v>A</v>
      </c>
      <c r="M298" s="773" t="s">
        <v>542</v>
      </c>
      <c r="N298" s="773" t="s">
        <v>542</v>
      </c>
      <c r="O298" s="773"/>
      <c r="P298" s="773" t="str">
        <f t="shared" si="370"/>
        <v>A</v>
      </c>
      <c r="Q298" s="773" t="str">
        <f t="shared" si="371"/>
        <v>A</v>
      </c>
      <c r="R298" s="773" t="str">
        <f t="shared" si="372"/>
        <v>A</v>
      </c>
      <c r="S298" s="773" t="str">
        <f t="shared" si="373"/>
        <v>A</v>
      </c>
      <c r="T298" s="773" t="str">
        <f t="shared" si="374"/>
        <v>A</v>
      </c>
      <c r="U298" s="773" t="str">
        <f t="shared" si="375"/>
        <v>A</v>
      </c>
      <c r="V298" s="773" t="str">
        <f t="shared" si="376"/>
        <v>A</v>
      </c>
      <c r="W298" s="773" t="str">
        <f t="shared" si="376"/>
        <v>A</v>
      </c>
      <c r="X298" s="773" t="str">
        <f t="shared" si="377"/>
        <v>A</v>
      </c>
      <c r="Y298" s="773" t="str">
        <f t="shared" si="378"/>
        <v>A</v>
      </c>
      <c r="Z298" s="773" t="str">
        <f t="shared" si="379"/>
        <v>A</v>
      </c>
      <c r="AA298" s="773" t="str">
        <f t="shared" si="380"/>
        <v>A</v>
      </c>
      <c r="AB298" s="773" t="str">
        <f t="shared" si="381"/>
        <v>A</v>
      </c>
      <c r="AC298" s="773" t="str">
        <f t="shared" si="382"/>
        <v>A</v>
      </c>
      <c r="AD298" s="876"/>
      <c r="AE298" s="863"/>
      <c r="AF298" s="870"/>
      <c r="AG298" s="1019"/>
      <c r="AH298" s="802"/>
      <c r="AI298" s="803"/>
    </row>
    <row r="299" spans="1:51" hidden="1" outlineLevel="1" x14ac:dyDescent="0.3">
      <c r="A299" s="159"/>
      <c r="B299" s="1191"/>
      <c r="C299" s="735" t="str">
        <f>'Optimalizačné opatrenia'!$B$8</f>
        <v>Bezpečnosť</v>
      </c>
      <c r="D299" s="788" t="s">
        <v>542</v>
      </c>
      <c r="E299" s="773" t="s">
        <v>542</v>
      </c>
      <c r="F299" s="773" t="s">
        <v>542</v>
      </c>
      <c r="G299" s="773" t="str">
        <f t="shared" si="368"/>
        <v>A</v>
      </c>
      <c r="H299" s="773"/>
      <c r="I299" s="773"/>
      <c r="J299" s="773"/>
      <c r="K299" s="773"/>
      <c r="L299" s="773" t="str">
        <f t="shared" si="369"/>
        <v>A</v>
      </c>
      <c r="M299" s="773" t="s">
        <v>542</v>
      </c>
      <c r="N299" s="773" t="s">
        <v>542</v>
      </c>
      <c r="O299" s="773"/>
      <c r="P299" s="773" t="str">
        <f t="shared" si="370"/>
        <v>A</v>
      </c>
      <c r="Q299" s="773" t="str">
        <f t="shared" si="371"/>
        <v>A</v>
      </c>
      <c r="R299" s="773" t="str">
        <f t="shared" si="372"/>
        <v>A</v>
      </c>
      <c r="S299" s="773" t="str">
        <f t="shared" si="373"/>
        <v>A</v>
      </c>
      <c r="T299" s="773" t="str">
        <f t="shared" si="374"/>
        <v>A</v>
      </c>
      <c r="U299" s="773" t="str">
        <f t="shared" si="375"/>
        <v>A</v>
      </c>
      <c r="V299" s="773" t="str">
        <f t="shared" si="376"/>
        <v>A</v>
      </c>
      <c r="W299" s="773" t="str">
        <f t="shared" si="376"/>
        <v>A</v>
      </c>
      <c r="X299" s="773" t="str">
        <f t="shared" si="377"/>
        <v>A</v>
      </c>
      <c r="Y299" s="773" t="str">
        <f t="shared" si="378"/>
        <v>A</v>
      </c>
      <c r="Z299" s="773" t="str">
        <f t="shared" si="379"/>
        <v>A</v>
      </c>
      <c r="AA299" s="773" t="str">
        <f t="shared" si="380"/>
        <v>A</v>
      </c>
      <c r="AB299" s="773" t="str">
        <f t="shared" si="381"/>
        <v>A</v>
      </c>
      <c r="AC299" s="773" t="str">
        <f t="shared" si="382"/>
        <v>A</v>
      </c>
      <c r="AD299" s="876"/>
      <c r="AE299" s="863"/>
      <c r="AF299" s="870"/>
      <c r="AG299" s="1019"/>
      <c r="AH299" s="802"/>
      <c r="AI299" s="803"/>
    </row>
    <row r="300" spans="1:51" hidden="1" outlineLevel="1" x14ac:dyDescent="0.3">
      <c r="A300" s="159"/>
      <c r="B300" s="1191"/>
      <c r="C300" s="735" t="str">
        <f>'Optimalizačné opatrenia'!$B$9</f>
        <v>Auditovateľnosť</v>
      </c>
      <c r="D300" s="788" t="s">
        <v>542</v>
      </c>
      <c r="E300" s="773" t="s">
        <v>542</v>
      </c>
      <c r="F300" s="773" t="s">
        <v>542</v>
      </c>
      <c r="G300" s="773" t="str">
        <f t="shared" si="368"/>
        <v>A</v>
      </c>
      <c r="H300" s="773"/>
      <c r="I300" s="773"/>
      <c r="J300" s="773"/>
      <c r="K300" s="773"/>
      <c r="L300" s="773" t="str">
        <f t="shared" si="369"/>
        <v>N</v>
      </c>
      <c r="M300" s="773" t="s">
        <v>542</v>
      </c>
      <c r="N300" s="773" t="s">
        <v>542</v>
      </c>
      <c r="O300" s="773"/>
      <c r="P300" s="773" t="str">
        <f t="shared" si="370"/>
        <v>A</v>
      </c>
      <c r="Q300" s="773" t="str">
        <f t="shared" si="371"/>
        <v>A</v>
      </c>
      <c r="R300" s="773" t="str">
        <f t="shared" si="372"/>
        <v>A</v>
      </c>
      <c r="S300" s="773" t="str">
        <f t="shared" si="373"/>
        <v>A</v>
      </c>
      <c r="T300" s="773" t="str">
        <f t="shared" si="374"/>
        <v>A</v>
      </c>
      <c r="U300" s="773" t="str">
        <f t="shared" si="375"/>
        <v>A</v>
      </c>
      <c r="V300" s="773" t="str">
        <f t="shared" si="376"/>
        <v>A</v>
      </c>
      <c r="W300" s="773" t="str">
        <f t="shared" si="376"/>
        <v>A</v>
      </c>
      <c r="X300" s="773" t="str">
        <f t="shared" si="377"/>
        <v>A</v>
      </c>
      <c r="Y300" s="773" t="str">
        <f t="shared" si="378"/>
        <v>A</v>
      </c>
      <c r="Z300" s="773" t="str">
        <f t="shared" si="379"/>
        <v>A</v>
      </c>
      <c r="AA300" s="773" t="str">
        <f t="shared" si="380"/>
        <v>A</v>
      </c>
      <c r="AB300" s="773" t="str">
        <f t="shared" si="381"/>
        <v>A</v>
      </c>
      <c r="AC300" s="773" t="str">
        <f t="shared" si="382"/>
        <v>A</v>
      </c>
      <c r="AD300" s="876"/>
      <c r="AE300" s="863"/>
      <c r="AF300" s="870"/>
      <c r="AG300" s="1019"/>
      <c r="AH300" s="802"/>
      <c r="AI300" s="803"/>
    </row>
    <row r="301" spans="1:51" hidden="1" outlineLevel="1" x14ac:dyDescent="0.3">
      <c r="A301" s="159"/>
      <c r="B301" s="1191"/>
      <c r="C301" s="735" t="str">
        <f>'Optimalizačné opatrenia'!$B$10</f>
        <v>Transparentnosť</v>
      </c>
      <c r="D301" s="788" t="s">
        <v>542</v>
      </c>
      <c r="E301" s="773" t="s">
        <v>542</v>
      </c>
      <c r="F301" s="773" t="s">
        <v>542</v>
      </c>
      <c r="G301" s="773" t="str">
        <f t="shared" si="368"/>
        <v>N</v>
      </c>
      <c r="H301" s="773"/>
      <c r="I301" s="773"/>
      <c r="J301" s="773"/>
      <c r="K301" s="773"/>
      <c r="L301" s="773" t="str">
        <f t="shared" si="369"/>
        <v>N</v>
      </c>
      <c r="M301" s="773" t="s">
        <v>542</v>
      </c>
      <c r="N301" s="773" t="s">
        <v>542</v>
      </c>
      <c r="O301" s="773"/>
      <c r="P301" s="773" t="str">
        <f t="shared" si="370"/>
        <v>A</v>
      </c>
      <c r="Q301" s="773" t="str">
        <f t="shared" si="371"/>
        <v>N</v>
      </c>
      <c r="R301" s="773" t="str">
        <f t="shared" si="372"/>
        <v>N</v>
      </c>
      <c r="S301" s="773" t="str">
        <f t="shared" si="373"/>
        <v>N</v>
      </c>
      <c r="T301" s="773" t="str">
        <f t="shared" si="374"/>
        <v>N</v>
      </c>
      <c r="U301" s="773" t="str">
        <f t="shared" si="375"/>
        <v>N</v>
      </c>
      <c r="V301" s="773" t="str">
        <f t="shared" si="376"/>
        <v>A</v>
      </c>
      <c r="W301" s="773" t="str">
        <f t="shared" si="376"/>
        <v>N</v>
      </c>
      <c r="X301" s="773" t="str">
        <f t="shared" si="377"/>
        <v>N</v>
      </c>
      <c r="Y301" s="773" t="str">
        <f t="shared" si="378"/>
        <v>N</v>
      </c>
      <c r="Z301" s="773" t="str">
        <f t="shared" si="379"/>
        <v>N</v>
      </c>
      <c r="AA301" s="773" t="str">
        <f t="shared" si="380"/>
        <v>A</v>
      </c>
      <c r="AB301" s="773" t="str">
        <f t="shared" si="381"/>
        <v>N</v>
      </c>
      <c r="AC301" s="773" t="str">
        <f t="shared" si="382"/>
        <v>N</v>
      </c>
      <c r="AD301" s="876"/>
      <c r="AE301" s="863"/>
      <c r="AF301" s="870"/>
      <c r="AG301" s="1019"/>
      <c r="AH301" s="802"/>
      <c r="AI301" s="803"/>
    </row>
    <row r="302" spans="1:51" hidden="1" outlineLevel="1" x14ac:dyDescent="0.3">
      <c r="A302" s="159"/>
      <c r="B302" s="1191"/>
      <c r="C302" s="735" t="str">
        <f>'Optimalizačné opatrenia'!$B$11</f>
        <v>Analyzovatelnosť</v>
      </c>
      <c r="D302" s="788" t="s">
        <v>542</v>
      </c>
      <c r="E302" s="773" t="s">
        <v>542</v>
      </c>
      <c r="F302" s="773" t="s">
        <v>542</v>
      </c>
      <c r="G302" s="773" t="str">
        <f t="shared" si="368"/>
        <v>A</v>
      </c>
      <c r="H302" s="773"/>
      <c r="I302" s="773"/>
      <c r="J302" s="773"/>
      <c r="K302" s="773"/>
      <c r="L302" s="773" t="str">
        <f t="shared" si="369"/>
        <v>N</v>
      </c>
      <c r="M302" s="773" t="s">
        <v>542</v>
      </c>
      <c r="N302" s="773" t="s">
        <v>542</v>
      </c>
      <c r="O302" s="773"/>
      <c r="P302" s="773" t="str">
        <f t="shared" si="370"/>
        <v>A</v>
      </c>
      <c r="Q302" s="773" t="str">
        <f t="shared" si="371"/>
        <v>A</v>
      </c>
      <c r="R302" s="773" t="str">
        <f t="shared" si="372"/>
        <v>A</v>
      </c>
      <c r="S302" s="773" t="str">
        <f t="shared" si="373"/>
        <v>A</v>
      </c>
      <c r="T302" s="773" t="str">
        <f t="shared" si="374"/>
        <v>A</v>
      </c>
      <c r="U302" s="773" t="str">
        <f t="shared" si="375"/>
        <v>A</v>
      </c>
      <c r="V302" s="773" t="str">
        <f t="shared" si="376"/>
        <v>A</v>
      </c>
      <c r="W302" s="773" t="str">
        <f t="shared" si="376"/>
        <v>A</v>
      </c>
      <c r="X302" s="773" t="str">
        <f t="shared" si="377"/>
        <v>A</v>
      </c>
      <c r="Y302" s="773" t="str">
        <f t="shared" si="378"/>
        <v>A</v>
      </c>
      <c r="Z302" s="773" t="str">
        <f t="shared" si="379"/>
        <v>A</v>
      </c>
      <c r="AA302" s="773" t="str">
        <f t="shared" si="380"/>
        <v>A</v>
      </c>
      <c r="AB302" s="773" t="str">
        <f t="shared" si="381"/>
        <v>A</v>
      </c>
      <c r="AC302" s="773" t="str">
        <f t="shared" si="382"/>
        <v>A</v>
      </c>
      <c r="AD302" s="876"/>
      <c r="AE302" s="863"/>
      <c r="AF302" s="870"/>
      <c r="AG302" s="1019"/>
      <c r="AH302" s="802"/>
      <c r="AI302" s="803"/>
    </row>
    <row r="303" spans="1:51" hidden="1" outlineLevel="1" x14ac:dyDescent="0.3">
      <c r="A303" s="159"/>
      <c r="B303" s="1191"/>
      <c r="C303" s="735" t="str">
        <f>'Optimalizačné opatrenia'!$B$12</f>
        <v>Integrácia</v>
      </c>
      <c r="D303" s="788" t="s">
        <v>542</v>
      </c>
      <c r="E303" s="773" t="s">
        <v>542</v>
      </c>
      <c r="F303" s="773" t="s">
        <v>542</v>
      </c>
      <c r="G303" s="773" t="str">
        <f t="shared" si="368"/>
        <v>A</v>
      </c>
      <c r="H303" s="773"/>
      <c r="I303" s="773"/>
      <c r="J303" s="773"/>
      <c r="K303" s="773"/>
      <c r="L303" s="773" t="str">
        <f t="shared" si="369"/>
        <v>A</v>
      </c>
      <c r="M303" s="773" t="s">
        <v>542</v>
      </c>
      <c r="N303" s="773" t="s">
        <v>542</v>
      </c>
      <c r="O303" s="773"/>
      <c r="P303" s="773" t="str">
        <f t="shared" si="370"/>
        <v>A</v>
      </c>
      <c r="Q303" s="773" t="str">
        <f t="shared" si="371"/>
        <v>A</v>
      </c>
      <c r="R303" s="773" t="str">
        <f t="shared" si="372"/>
        <v>A</v>
      </c>
      <c r="S303" s="773" t="str">
        <f t="shared" si="373"/>
        <v>A</v>
      </c>
      <c r="T303" s="773" t="str">
        <f t="shared" si="374"/>
        <v>A</v>
      </c>
      <c r="U303" s="773" t="str">
        <f t="shared" si="375"/>
        <v>A</v>
      </c>
      <c r="V303" s="773" t="str">
        <f t="shared" si="376"/>
        <v>A</v>
      </c>
      <c r="W303" s="773" t="str">
        <f t="shared" si="376"/>
        <v>A</v>
      </c>
      <c r="X303" s="773" t="str">
        <f t="shared" si="377"/>
        <v>A</v>
      </c>
      <c r="Y303" s="773" t="str">
        <f t="shared" si="378"/>
        <v>A</v>
      </c>
      <c r="Z303" s="773" t="str">
        <f t="shared" si="379"/>
        <v>A</v>
      </c>
      <c r="AA303" s="773" t="str">
        <f t="shared" si="380"/>
        <v>A</v>
      </c>
      <c r="AB303" s="773" t="str">
        <f t="shared" si="381"/>
        <v>A</v>
      </c>
      <c r="AC303" s="773" t="str">
        <f t="shared" si="382"/>
        <v>A</v>
      </c>
      <c r="AD303" s="876"/>
      <c r="AE303" s="863"/>
      <c r="AF303" s="870"/>
      <c r="AG303" s="1019"/>
      <c r="AH303" s="802"/>
      <c r="AI303" s="803"/>
    </row>
    <row r="304" spans="1:51" hidden="1" outlineLevel="1" x14ac:dyDescent="0.3">
      <c r="A304" s="159"/>
      <c r="B304" s="1191"/>
      <c r="C304" s="740" t="str">
        <f>'Optimalizačné opatrenia'!$B$13</f>
        <v>Proaktivita</v>
      </c>
      <c r="D304" s="788" t="s">
        <v>542</v>
      </c>
      <c r="E304" s="773" t="s">
        <v>542</v>
      </c>
      <c r="F304" s="773" t="s">
        <v>542</v>
      </c>
      <c r="G304" s="773" t="str">
        <f t="shared" si="368"/>
        <v>N</v>
      </c>
      <c r="H304" s="773"/>
      <c r="I304" s="773"/>
      <c r="J304" s="773"/>
      <c r="K304" s="773"/>
      <c r="L304" s="773" t="str">
        <f t="shared" si="369"/>
        <v>A</v>
      </c>
      <c r="M304" s="773" t="s">
        <v>542</v>
      </c>
      <c r="N304" s="773" t="s">
        <v>542</v>
      </c>
      <c r="O304" s="773"/>
      <c r="P304" s="773" t="str">
        <f t="shared" si="370"/>
        <v>N</v>
      </c>
      <c r="Q304" s="773" t="str">
        <f t="shared" si="371"/>
        <v>N</v>
      </c>
      <c r="R304" s="773" t="str">
        <f t="shared" si="372"/>
        <v>A</v>
      </c>
      <c r="S304" s="773" t="str">
        <f t="shared" si="373"/>
        <v>A</v>
      </c>
      <c r="T304" s="773" t="str">
        <f t="shared" si="374"/>
        <v>A</v>
      </c>
      <c r="U304" s="773" t="str">
        <f t="shared" si="375"/>
        <v>N</v>
      </c>
      <c r="V304" s="773" t="str">
        <f t="shared" si="376"/>
        <v>A</v>
      </c>
      <c r="W304" s="773" t="str">
        <f t="shared" si="376"/>
        <v>N</v>
      </c>
      <c r="X304" s="773" t="str">
        <f t="shared" si="377"/>
        <v>N</v>
      </c>
      <c r="Y304" s="773" t="str">
        <f t="shared" si="378"/>
        <v>A</v>
      </c>
      <c r="Z304" s="773" t="str">
        <f t="shared" si="379"/>
        <v>A</v>
      </c>
      <c r="AA304" s="773" t="str">
        <f t="shared" si="380"/>
        <v>A</v>
      </c>
      <c r="AB304" s="773" t="str">
        <f t="shared" si="381"/>
        <v>N</v>
      </c>
      <c r="AC304" s="773" t="str">
        <f t="shared" si="382"/>
        <v>A</v>
      </c>
      <c r="AD304" s="876"/>
      <c r="AE304" s="863"/>
      <c r="AF304" s="870"/>
      <c r="AG304" s="1019"/>
      <c r="AH304" s="802"/>
      <c r="AI304" s="803"/>
    </row>
    <row r="305" spans="1:51" hidden="1" outlineLevel="1" x14ac:dyDescent="0.3">
      <c r="A305" s="159"/>
      <c r="B305" s="790"/>
      <c r="C305" s="792" t="s">
        <v>550</v>
      </c>
      <c r="D305" s="793">
        <v>0</v>
      </c>
      <c r="E305" s="791">
        <v>0</v>
      </c>
      <c r="F305" s="794">
        <v>0</v>
      </c>
      <c r="G305" s="794">
        <f t="shared" si="368"/>
        <v>0.3</v>
      </c>
      <c r="H305" s="794"/>
      <c r="I305" s="794"/>
      <c r="J305" s="794"/>
      <c r="K305" s="794"/>
      <c r="L305" s="794">
        <f t="shared" si="369"/>
        <v>0.25</v>
      </c>
      <c r="M305" s="794">
        <v>0</v>
      </c>
      <c r="N305" s="794">
        <v>0</v>
      </c>
      <c r="O305" s="794"/>
      <c r="P305" s="794">
        <f t="shared" si="370"/>
        <v>0.45</v>
      </c>
      <c r="Q305" s="794">
        <f t="shared" si="371"/>
        <v>0.3</v>
      </c>
      <c r="R305" s="794">
        <f t="shared" si="372"/>
        <v>0.4</v>
      </c>
      <c r="S305" s="794">
        <f t="shared" si="373"/>
        <v>0.4</v>
      </c>
      <c r="T305" s="794">
        <f t="shared" si="374"/>
        <v>0.4</v>
      </c>
      <c r="U305" s="794">
        <f t="shared" si="375"/>
        <v>0.3</v>
      </c>
      <c r="V305" s="794">
        <f t="shared" si="376"/>
        <v>0.5</v>
      </c>
      <c r="W305" s="794">
        <f t="shared" si="376"/>
        <v>0.3</v>
      </c>
      <c r="X305" s="794">
        <f t="shared" si="377"/>
        <v>0.3</v>
      </c>
      <c r="Y305" s="794">
        <f t="shared" si="378"/>
        <v>0.4</v>
      </c>
      <c r="Z305" s="794">
        <f t="shared" si="379"/>
        <v>0.4</v>
      </c>
      <c r="AA305" s="794">
        <f t="shared" si="380"/>
        <v>0.5</v>
      </c>
      <c r="AB305" s="794">
        <f t="shared" si="381"/>
        <v>0.3</v>
      </c>
      <c r="AC305" s="794">
        <f t="shared" si="382"/>
        <v>0.4</v>
      </c>
      <c r="AD305" s="877"/>
      <c r="AE305" s="864"/>
      <c r="AF305" s="871"/>
      <c r="AG305" s="1020"/>
      <c r="AH305" s="805"/>
      <c r="AI305" s="806"/>
    </row>
    <row r="306" spans="1:51" ht="43.8" customHeight="1" collapsed="1" x14ac:dyDescent="0.3">
      <c r="A306" s="159">
        <f ca="1">OFFSET(A306,-14,0)+1</f>
        <v>22</v>
      </c>
      <c r="B306" s="1013" t="str">
        <f ca="1">'Procesy - AS IS'!B75</f>
        <v>Meranie č. 22</v>
      </c>
      <c r="C306" s="739" t="str">
        <f>'Procesy - AS IS'!C75</f>
        <v>Komposesorát Vojka s.r.o., Preverenie legálnosti realizácie oplotenia v chránenom území, 3006/2018</v>
      </c>
      <c r="D306" s="796">
        <f>-'Procesy - AS IS'!D77*D319</f>
        <v>0</v>
      </c>
      <c r="E306" s="721">
        <f>-'Procesy - AS IS'!E77*E319</f>
        <v>0</v>
      </c>
      <c r="F306" s="721">
        <f>-'Procesy - AS IS'!F77*F319</f>
        <v>0</v>
      </c>
      <c r="G306" s="721">
        <f>-'Procesy - AS IS'!G77*G319</f>
        <v>-0.89999999999999991</v>
      </c>
      <c r="H306" s="721" t="s">
        <v>568</v>
      </c>
      <c r="I306" s="721" t="s">
        <v>568</v>
      </c>
      <c r="J306" s="721" t="s">
        <v>568</v>
      </c>
      <c r="K306" s="721" t="s">
        <v>568</v>
      </c>
      <c r="L306" s="721">
        <f>-'Procesy - AS IS'!L77*L319</f>
        <v>-6.25E-2</v>
      </c>
      <c r="M306" s="721">
        <f>-'Procesy - AS IS'!M77*M319</f>
        <v>0</v>
      </c>
      <c r="N306" s="721">
        <f>-'Procesy - AS IS'!N77*N319</f>
        <v>0</v>
      </c>
      <c r="O306" s="721" t="s">
        <v>572</v>
      </c>
      <c r="P306" s="721">
        <f>-'Procesy - AS IS'!P77*P319</f>
        <v>-0.9</v>
      </c>
      <c r="Q306" s="721">
        <f>-'Procesy - AS IS'!Q77*Q319</f>
        <v>0</v>
      </c>
      <c r="R306" s="721">
        <f>-'Procesy - AS IS'!R77*R319</f>
        <v>-5.2532687651331731</v>
      </c>
      <c r="S306" s="721">
        <f>-'Procesy - AS IS'!S77*S319</f>
        <v>-1.448910411622276</v>
      </c>
      <c r="T306" s="721">
        <f>-'Procesy - AS IS'!T77*T319</f>
        <v>-2.6266343825665865</v>
      </c>
      <c r="U306" s="721">
        <f>-'Procesy - AS IS'!U77*U319</f>
        <v>0</v>
      </c>
      <c r="V306" s="721">
        <f>-'Procesy - AS IS'!V77*V319</f>
        <v>-0.5</v>
      </c>
      <c r="W306" s="721">
        <f>-'Procesy - AS IS'!W77*W319</f>
        <v>-9.2251815980629537E-2</v>
      </c>
      <c r="X306" s="721">
        <f>-'Procesy - AS IS'!X77*X319</f>
        <v>0</v>
      </c>
      <c r="Y306" s="721">
        <f>-'Procesy - AS IS'!Y77*Y319</f>
        <v>-2.9520581113801452</v>
      </c>
      <c r="Z306" s="721">
        <f>-'Procesy - AS IS'!Z77*Z319</f>
        <v>-7.2639225181598058E-3</v>
      </c>
      <c r="AA306" s="721">
        <f>-'Procesy - AS IS'!AA77*AA319</f>
        <v>-1.8159806295399514E-2</v>
      </c>
      <c r="AB306" s="721">
        <f>-'Procesy - AS IS'!AB77*AB319</f>
        <v>0</v>
      </c>
      <c r="AC306" s="721">
        <f>-'Procesy - AS IS'!AC77*AC319</f>
        <v>0</v>
      </c>
      <c r="AD306" s="824">
        <f>SUM(D306:AC306)</f>
        <v>-14.761047215496371</v>
      </c>
      <c r="AE306" s="798">
        <f>AD306/'Procesy - AS IS'!AD77</f>
        <v>-0.39558830686371532</v>
      </c>
      <c r="AF306" s="869">
        <f>('Procesy - AS IS'!AG74/(1+$AE306)-'Procesy - AS IS'!AG74)/2</f>
        <v>135.15454167253802</v>
      </c>
      <c r="AG306" s="1018">
        <f>('Procesy - AS IS'!AH74/(1+$AE306)-'Procesy - AS IS'!AH74)/2</f>
        <v>73.958659607732642</v>
      </c>
      <c r="AH306" s="800">
        <f>('Procesy - AS IS'!AI74/(1+$AE306)-'Procesy - AS IS'!AI74)/2</f>
        <v>41.56083969107101</v>
      </c>
      <c r="AI306" s="801">
        <f>('Procesy - AS IS'!AJ74/(1+$AE306)-'Procesy - AS IS'!AJ74)/2</f>
        <v>4.9087605934335841</v>
      </c>
      <c r="AK306" s="232"/>
      <c r="AY306" s="227"/>
    </row>
    <row r="307" spans="1:51" hidden="1" outlineLevel="1" x14ac:dyDescent="0.3">
      <c r="A307" s="159"/>
      <c r="B307" s="1190" t="s">
        <v>540</v>
      </c>
      <c r="C307" s="735" t="str">
        <f>'Optimalizačné opatrenia'!$B$2</f>
        <v>Modernizácia</v>
      </c>
      <c r="D307" s="788" t="str">
        <f t="shared" ref="D307:G319" si="383">D293</f>
        <v>N</v>
      </c>
      <c r="E307" s="773" t="str">
        <f t="shared" si="383"/>
        <v>N</v>
      </c>
      <c r="F307" s="773" t="str">
        <f t="shared" si="383"/>
        <v>N</v>
      </c>
      <c r="G307" s="773" t="str">
        <f t="shared" si="383"/>
        <v>A</v>
      </c>
      <c r="H307" s="773"/>
      <c r="I307" s="773"/>
      <c r="J307" s="773"/>
      <c r="K307" s="773"/>
      <c r="L307" s="773" t="str">
        <f t="shared" ref="L307:N307" si="384">L293</f>
        <v>A</v>
      </c>
      <c r="M307" s="773" t="str">
        <f t="shared" si="384"/>
        <v>N</v>
      </c>
      <c r="N307" s="773" t="str">
        <f t="shared" si="384"/>
        <v>N</v>
      </c>
      <c r="O307" s="773"/>
      <c r="P307" s="773" t="str">
        <f t="shared" ref="P307:AC307" si="385">P293</f>
        <v>A</v>
      </c>
      <c r="Q307" s="773" t="str">
        <f t="shared" si="385"/>
        <v>A</v>
      </c>
      <c r="R307" s="773" t="str">
        <f t="shared" si="385"/>
        <v>A</v>
      </c>
      <c r="S307" s="773" t="str">
        <f t="shared" si="385"/>
        <v>A</v>
      </c>
      <c r="T307" s="773" t="str">
        <f t="shared" si="385"/>
        <v>A</v>
      </c>
      <c r="U307" s="773" t="str">
        <f t="shared" si="385"/>
        <v>A</v>
      </c>
      <c r="V307" s="773" t="str">
        <f t="shared" si="385"/>
        <v>A</v>
      </c>
      <c r="W307" s="773" t="str">
        <f t="shared" si="385"/>
        <v>A</v>
      </c>
      <c r="X307" s="773" t="str">
        <f t="shared" si="385"/>
        <v>A</v>
      </c>
      <c r="Y307" s="773" t="str">
        <f t="shared" si="385"/>
        <v>A</v>
      </c>
      <c r="Z307" s="773" t="str">
        <f t="shared" si="385"/>
        <v>A</v>
      </c>
      <c r="AA307" s="773" t="str">
        <f t="shared" si="385"/>
        <v>A</v>
      </c>
      <c r="AB307" s="773" t="str">
        <f t="shared" si="385"/>
        <v>A</v>
      </c>
      <c r="AC307" s="773" t="str">
        <f t="shared" si="385"/>
        <v>A</v>
      </c>
      <c r="AD307" s="876"/>
      <c r="AE307" s="863"/>
      <c r="AF307" s="870"/>
      <c r="AG307" s="1019"/>
      <c r="AH307" s="802"/>
      <c r="AI307" s="803"/>
    </row>
    <row r="308" spans="1:51" hidden="1" outlineLevel="1" x14ac:dyDescent="0.3">
      <c r="A308" s="159"/>
      <c r="B308" s="1191"/>
      <c r="C308" s="735" t="str">
        <f>'Optimalizačné opatrenia'!$B$3</f>
        <v>Sfunkčnenie</v>
      </c>
      <c r="D308" s="788" t="str">
        <f t="shared" si="383"/>
        <v>N</v>
      </c>
      <c r="E308" s="773" t="str">
        <f t="shared" si="383"/>
        <v>N</v>
      </c>
      <c r="F308" s="773" t="str">
        <f t="shared" si="383"/>
        <v>N</v>
      </c>
      <c r="G308" s="773" t="str">
        <f t="shared" si="383"/>
        <v>N</v>
      </c>
      <c r="H308" s="773"/>
      <c r="I308" s="773"/>
      <c r="J308" s="773"/>
      <c r="K308" s="773"/>
      <c r="L308" s="773" t="str">
        <f t="shared" ref="L308:N308" si="386">L294</f>
        <v>N</v>
      </c>
      <c r="M308" s="773" t="str">
        <f t="shared" si="386"/>
        <v>N</v>
      </c>
      <c r="N308" s="773" t="str">
        <f t="shared" si="386"/>
        <v>N</v>
      </c>
      <c r="O308" s="773"/>
      <c r="P308" s="773" t="str">
        <f t="shared" ref="P308:AC308" si="387">P294</f>
        <v>N</v>
      </c>
      <c r="Q308" s="773" t="str">
        <f t="shared" si="387"/>
        <v>N</v>
      </c>
      <c r="R308" s="773" t="str">
        <f t="shared" si="387"/>
        <v>N</v>
      </c>
      <c r="S308" s="773" t="str">
        <f t="shared" si="387"/>
        <v>N</v>
      </c>
      <c r="T308" s="773" t="str">
        <f t="shared" si="387"/>
        <v>N</v>
      </c>
      <c r="U308" s="773" t="str">
        <f t="shared" si="387"/>
        <v>N</v>
      </c>
      <c r="V308" s="773" t="str">
        <f t="shared" si="387"/>
        <v>N</v>
      </c>
      <c r="W308" s="773" t="str">
        <f t="shared" si="387"/>
        <v>N</v>
      </c>
      <c r="X308" s="773" t="str">
        <f t="shared" si="387"/>
        <v>N</v>
      </c>
      <c r="Y308" s="773" t="str">
        <f t="shared" si="387"/>
        <v>N</v>
      </c>
      <c r="Z308" s="773" t="str">
        <f t="shared" si="387"/>
        <v>N</v>
      </c>
      <c r="AA308" s="773" t="str">
        <f t="shared" si="387"/>
        <v>N</v>
      </c>
      <c r="AB308" s="773" t="str">
        <f t="shared" si="387"/>
        <v>N</v>
      </c>
      <c r="AC308" s="773" t="str">
        <f t="shared" si="387"/>
        <v>N</v>
      </c>
      <c r="AD308" s="876"/>
      <c r="AE308" s="863"/>
      <c r="AF308" s="870"/>
      <c r="AG308" s="1019"/>
      <c r="AH308" s="802"/>
      <c r="AI308" s="803"/>
    </row>
    <row r="309" spans="1:51" hidden="1" outlineLevel="1" x14ac:dyDescent="0.3">
      <c r="A309" s="159"/>
      <c r="B309" s="1191"/>
      <c r="C309" s="735" t="str">
        <f>'Optimalizačné opatrenia'!$B$4</f>
        <v>Zjednotenie</v>
      </c>
      <c r="D309" s="788" t="str">
        <f t="shared" si="383"/>
        <v>N</v>
      </c>
      <c r="E309" s="773" t="str">
        <f t="shared" si="383"/>
        <v>N</v>
      </c>
      <c r="F309" s="773" t="str">
        <f t="shared" si="383"/>
        <v>N</v>
      </c>
      <c r="G309" s="773" t="str">
        <f t="shared" si="383"/>
        <v>A</v>
      </c>
      <c r="H309" s="773"/>
      <c r="I309" s="773"/>
      <c r="J309" s="773"/>
      <c r="K309" s="773"/>
      <c r="L309" s="773" t="str">
        <f t="shared" ref="L309:N309" si="388">L295</f>
        <v>A</v>
      </c>
      <c r="M309" s="773" t="str">
        <f t="shared" si="388"/>
        <v>N</v>
      </c>
      <c r="N309" s="773" t="str">
        <f t="shared" si="388"/>
        <v>N</v>
      </c>
      <c r="O309" s="773"/>
      <c r="P309" s="773" t="str">
        <f t="shared" ref="P309:AC309" si="389">P295</f>
        <v>A</v>
      </c>
      <c r="Q309" s="773" t="str">
        <f t="shared" si="389"/>
        <v>A</v>
      </c>
      <c r="R309" s="773" t="str">
        <f t="shared" si="389"/>
        <v>A</v>
      </c>
      <c r="S309" s="773" t="str">
        <f t="shared" si="389"/>
        <v>A</v>
      </c>
      <c r="T309" s="773" t="str">
        <f t="shared" si="389"/>
        <v>A</v>
      </c>
      <c r="U309" s="773" t="str">
        <f t="shared" si="389"/>
        <v>A</v>
      </c>
      <c r="V309" s="773" t="str">
        <f t="shared" si="389"/>
        <v>A</v>
      </c>
      <c r="W309" s="773" t="str">
        <f t="shared" si="389"/>
        <v>A</v>
      </c>
      <c r="X309" s="773" t="str">
        <f t="shared" si="389"/>
        <v>A</v>
      </c>
      <c r="Y309" s="773" t="str">
        <f t="shared" si="389"/>
        <v>A</v>
      </c>
      <c r="Z309" s="773" t="str">
        <f t="shared" si="389"/>
        <v>A</v>
      </c>
      <c r="AA309" s="773" t="str">
        <f t="shared" si="389"/>
        <v>A</v>
      </c>
      <c r="AB309" s="773" t="str">
        <f t="shared" si="389"/>
        <v>A</v>
      </c>
      <c r="AC309" s="773" t="str">
        <f t="shared" si="389"/>
        <v>A</v>
      </c>
      <c r="AD309" s="876"/>
      <c r="AE309" s="863"/>
      <c r="AF309" s="870"/>
      <c r="AG309" s="1019"/>
      <c r="AH309" s="802"/>
      <c r="AI309" s="803"/>
    </row>
    <row r="310" spans="1:51" hidden="1" outlineLevel="1" x14ac:dyDescent="0.3">
      <c r="A310" s="159"/>
      <c r="B310" s="1191"/>
      <c r="C310" s="735" t="str">
        <f>'Optimalizačné opatrenia'!$B$5</f>
        <v>Centralizácia</v>
      </c>
      <c r="D310" s="788" t="str">
        <f t="shared" si="383"/>
        <v>N</v>
      </c>
      <c r="E310" s="773" t="str">
        <f t="shared" si="383"/>
        <v>N</v>
      </c>
      <c r="F310" s="773" t="str">
        <f t="shared" si="383"/>
        <v>N</v>
      </c>
      <c r="G310" s="773" t="str">
        <f t="shared" si="383"/>
        <v>A</v>
      </c>
      <c r="H310" s="773"/>
      <c r="I310" s="773"/>
      <c r="J310" s="773"/>
      <c r="K310" s="773"/>
      <c r="L310" s="773" t="str">
        <f t="shared" ref="L310:N310" si="390">L296</f>
        <v>A</v>
      </c>
      <c r="M310" s="773" t="str">
        <f t="shared" si="390"/>
        <v>N</v>
      </c>
      <c r="N310" s="773" t="str">
        <f t="shared" si="390"/>
        <v>N</v>
      </c>
      <c r="O310" s="773"/>
      <c r="P310" s="773" t="str">
        <f t="shared" ref="P310:AC310" si="391">P296</f>
        <v>A</v>
      </c>
      <c r="Q310" s="773" t="str">
        <f t="shared" si="391"/>
        <v>A</v>
      </c>
      <c r="R310" s="773" t="str">
        <f t="shared" si="391"/>
        <v>A</v>
      </c>
      <c r="S310" s="773" t="str">
        <f t="shared" si="391"/>
        <v>A</v>
      </c>
      <c r="T310" s="773" t="str">
        <f t="shared" si="391"/>
        <v>A</v>
      </c>
      <c r="U310" s="773" t="str">
        <f t="shared" si="391"/>
        <v>A</v>
      </c>
      <c r="V310" s="773" t="str">
        <f t="shared" si="391"/>
        <v>A</v>
      </c>
      <c r="W310" s="773" t="str">
        <f t="shared" si="391"/>
        <v>A</v>
      </c>
      <c r="X310" s="773" t="str">
        <f t="shared" si="391"/>
        <v>A</v>
      </c>
      <c r="Y310" s="773" t="str">
        <f t="shared" si="391"/>
        <v>A</v>
      </c>
      <c r="Z310" s="773" t="str">
        <f t="shared" si="391"/>
        <v>A</v>
      </c>
      <c r="AA310" s="773" t="str">
        <f t="shared" si="391"/>
        <v>A</v>
      </c>
      <c r="AB310" s="773" t="str">
        <f t="shared" si="391"/>
        <v>A</v>
      </c>
      <c r="AC310" s="773" t="str">
        <f t="shared" si="391"/>
        <v>A</v>
      </c>
      <c r="AD310" s="876"/>
      <c r="AE310" s="863"/>
      <c r="AF310" s="870"/>
      <c r="AG310" s="1019"/>
      <c r="AH310" s="802"/>
      <c r="AI310" s="803"/>
    </row>
    <row r="311" spans="1:51" hidden="1" outlineLevel="1" x14ac:dyDescent="0.3">
      <c r="A311" s="159"/>
      <c r="B311" s="1191"/>
      <c r="C311" s="735" t="str">
        <f>'Optimalizačné opatrenia'!$B$6</f>
        <v>Elektronizácia</v>
      </c>
      <c r="D311" s="788" t="str">
        <f t="shared" si="383"/>
        <v>N</v>
      </c>
      <c r="E311" s="773" t="str">
        <f t="shared" si="383"/>
        <v>N</v>
      </c>
      <c r="F311" s="773" t="str">
        <f t="shared" si="383"/>
        <v>N</v>
      </c>
      <c r="G311" s="773" t="str">
        <f t="shared" si="383"/>
        <v>A</v>
      </c>
      <c r="H311" s="773"/>
      <c r="I311" s="773"/>
      <c r="J311" s="773"/>
      <c r="K311" s="773"/>
      <c r="L311" s="773" t="str">
        <f t="shared" ref="L311:N311" si="392">L297</f>
        <v>A</v>
      </c>
      <c r="M311" s="773" t="str">
        <f t="shared" si="392"/>
        <v>N</v>
      </c>
      <c r="N311" s="773" t="str">
        <f t="shared" si="392"/>
        <v>N</v>
      </c>
      <c r="O311" s="773"/>
      <c r="P311" s="773" t="str">
        <f t="shared" ref="P311:AC311" si="393">P297</f>
        <v>A</v>
      </c>
      <c r="Q311" s="773" t="str">
        <f t="shared" si="393"/>
        <v>A</v>
      </c>
      <c r="R311" s="773" t="str">
        <f t="shared" si="393"/>
        <v>A</v>
      </c>
      <c r="S311" s="773" t="str">
        <f t="shared" si="393"/>
        <v>A</v>
      </c>
      <c r="T311" s="773" t="str">
        <f t="shared" si="393"/>
        <v>A</v>
      </c>
      <c r="U311" s="773" t="str">
        <f t="shared" si="393"/>
        <v>A</v>
      </c>
      <c r="V311" s="773" t="str">
        <f t="shared" si="393"/>
        <v>A</v>
      </c>
      <c r="W311" s="773" t="str">
        <f t="shared" si="393"/>
        <v>A</v>
      </c>
      <c r="X311" s="773" t="str">
        <f t="shared" si="393"/>
        <v>A</v>
      </c>
      <c r="Y311" s="773" t="str">
        <f t="shared" si="393"/>
        <v>A</v>
      </c>
      <c r="Z311" s="773" t="str">
        <f t="shared" si="393"/>
        <v>A</v>
      </c>
      <c r="AA311" s="773" t="str">
        <f t="shared" si="393"/>
        <v>A</v>
      </c>
      <c r="AB311" s="773" t="str">
        <f t="shared" si="393"/>
        <v>A</v>
      </c>
      <c r="AC311" s="773" t="str">
        <f t="shared" si="393"/>
        <v>A</v>
      </c>
      <c r="AD311" s="876"/>
      <c r="AE311" s="863"/>
      <c r="AF311" s="870"/>
      <c r="AG311" s="1019"/>
      <c r="AH311" s="802"/>
      <c r="AI311" s="803"/>
    </row>
    <row r="312" spans="1:51" hidden="1" outlineLevel="1" x14ac:dyDescent="0.3">
      <c r="A312" s="159"/>
      <c r="B312" s="1191"/>
      <c r="C312" s="735" t="str">
        <f>'Optimalizačné opatrenia'!$B$7</f>
        <v>Automatizácia</v>
      </c>
      <c r="D312" s="788" t="str">
        <f t="shared" si="383"/>
        <v>N</v>
      </c>
      <c r="E312" s="773" t="str">
        <f t="shared" si="383"/>
        <v>N</v>
      </c>
      <c r="F312" s="773" t="str">
        <f t="shared" si="383"/>
        <v>N</v>
      </c>
      <c r="G312" s="773" t="str">
        <f t="shared" si="383"/>
        <v>A</v>
      </c>
      <c r="H312" s="773"/>
      <c r="I312" s="773"/>
      <c r="J312" s="773"/>
      <c r="K312" s="773"/>
      <c r="L312" s="773" t="str">
        <f t="shared" ref="L312:N312" si="394">L298</f>
        <v>A</v>
      </c>
      <c r="M312" s="773" t="str">
        <f t="shared" si="394"/>
        <v>N</v>
      </c>
      <c r="N312" s="773" t="str">
        <f t="shared" si="394"/>
        <v>N</v>
      </c>
      <c r="O312" s="773"/>
      <c r="P312" s="773" t="str">
        <f t="shared" ref="P312:AC312" si="395">P298</f>
        <v>A</v>
      </c>
      <c r="Q312" s="773" t="str">
        <f t="shared" si="395"/>
        <v>A</v>
      </c>
      <c r="R312" s="773" t="str">
        <f t="shared" si="395"/>
        <v>A</v>
      </c>
      <c r="S312" s="773" t="str">
        <f t="shared" si="395"/>
        <v>A</v>
      </c>
      <c r="T312" s="773" t="str">
        <f t="shared" si="395"/>
        <v>A</v>
      </c>
      <c r="U312" s="773" t="str">
        <f t="shared" si="395"/>
        <v>A</v>
      </c>
      <c r="V312" s="773" t="str">
        <f t="shared" si="395"/>
        <v>A</v>
      </c>
      <c r="W312" s="773" t="str">
        <f t="shared" si="395"/>
        <v>A</v>
      </c>
      <c r="X312" s="773" t="str">
        <f t="shared" si="395"/>
        <v>A</v>
      </c>
      <c r="Y312" s="773" t="str">
        <f t="shared" si="395"/>
        <v>A</v>
      </c>
      <c r="Z312" s="773" t="str">
        <f t="shared" si="395"/>
        <v>A</v>
      </c>
      <c r="AA312" s="773" t="str">
        <f t="shared" si="395"/>
        <v>A</v>
      </c>
      <c r="AB312" s="773" t="str">
        <f t="shared" si="395"/>
        <v>A</v>
      </c>
      <c r="AC312" s="773" t="str">
        <f t="shared" si="395"/>
        <v>A</v>
      </c>
      <c r="AD312" s="876"/>
      <c r="AE312" s="863"/>
      <c r="AF312" s="870"/>
      <c r="AG312" s="1019"/>
      <c r="AH312" s="802"/>
      <c r="AI312" s="803"/>
    </row>
    <row r="313" spans="1:51" hidden="1" outlineLevel="1" x14ac:dyDescent="0.3">
      <c r="A313" s="159"/>
      <c r="B313" s="1191"/>
      <c r="C313" s="735" t="str">
        <f>'Optimalizačné opatrenia'!$B$8</f>
        <v>Bezpečnosť</v>
      </c>
      <c r="D313" s="788" t="str">
        <f t="shared" si="383"/>
        <v>N</v>
      </c>
      <c r="E313" s="773" t="str">
        <f t="shared" si="383"/>
        <v>N</v>
      </c>
      <c r="F313" s="773" t="str">
        <f t="shared" si="383"/>
        <v>N</v>
      </c>
      <c r="G313" s="773" t="str">
        <f t="shared" si="383"/>
        <v>A</v>
      </c>
      <c r="H313" s="773"/>
      <c r="I313" s="773"/>
      <c r="J313" s="773"/>
      <c r="K313" s="773"/>
      <c r="L313" s="773" t="str">
        <f t="shared" ref="L313:N313" si="396">L299</f>
        <v>A</v>
      </c>
      <c r="M313" s="773" t="str">
        <f t="shared" si="396"/>
        <v>N</v>
      </c>
      <c r="N313" s="773" t="str">
        <f t="shared" si="396"/>
        <v>N</v>
      </c>
      <c r="O313" s="773"/>
      <c r="P313" s="773" t="str">
        <f t="shared" ref="P313:AC313" si="397">P299</f>
        <v>A</v>
      </c>
      <c r="Q313" s="773" t="str">
        <f t="shared" si="397"/>
        <v>A</v>
      </c>
      <c r="R313" s="773" t="str">
        <f t="shared" si="397"/>
        <v>A</v>
      </c>
      <c r="S313" s="773" t="str">
        <f t="shared" si="397"/>
        <v>A</v>
      </c>
      <c r="T313" s="773" t="str">
        <f t="shared" si="397"/>
        <v>A</v>
      </c>
      <c r="U313" s="773" t="str">
        <f t="shared" si="397"/>
        <v>A</v>
      </c>
      <c r="V313" s="773" t="str">
        <f t="shared" si="397"/>
        <v>A</v>
      </c>
      <c r="W313" s="773" t="str">
        <f t="shared" si="397"/>
        <v>A</v>
      </c>
      <c r="X313" s="773" t="str">
        <f t="shared" si="397"/>
        <v>A</v>
      </c>
      <c r="Y313" s="773" t="str">
        <f t="shared" si="397"/>
        <v>A</v>
      </c>
      <c r="Z313" s="773" t="str">
        <f t="shared" si="397"/>
        <v>A</v>
      </c>
      <c r="AA313" s="773" t="str">
        <f t="shared" si="397"/>
        <v>A</v>
      </c>
      <c r="AB313" s="773" t="str">
        <f t="shared" si="397"/>
        <v>A</v>
      </c>
      <c r="AC313" s="773" t="str">
        <f t="shared" si="397"/>
        <v>A</v>
      </c>
      <c r="AD313" s="876"/>
      <c r="AE313" s="863"/>
      <c r="AF313" s="870"/>
      <c r="AG313" s="1019"/>
      <c r="AH313" s="802"/>
      <c r="AI313" s="803"/>
    </row>
    <row r="314" spans="1:51" hidden="1" outlineLevel="1" x14ac:dyDescent="0.3">
      <c r="A314" s="159"/>
      <c r="B314" s="1191"/>
      <c r="C314" s="735" t="str">
        <f>'Optimalizačné opatrenia'!$B$9</f>
        <v>Auditovateľnosť</v>
      </c>
      <c r="D314" s="788" t="str">
        <f t="shared" si="383"/>
        <v>N</v>
      </c>
      <c r="E314" s="773" t="str">
        <f t="shared" si="383"/>
        <v>N</v>
      </c>
      <c r="F314" s="773" t="str">
        <f t="shared" si="383"/>
        <v>N</v>
      </c>
      <c r="G314" s="773" t="str">
        <f t="shared" si="383"/>
        <v>A</v>
      </c>
      <c r="H314" s="773"/>
      <c r="I314" s="773"/>
      <c r="J314" s="773"/>
      <c r="K314" s="773"/>
      <c r="L314" s="773" t="str">
        <f t="shared" ref="L314:N314" si="398">L300</f>
        <v>N</v>
      </c>
      <c r="M314" s="773" t="str">
        <f t="shared" si="398"/>
        <v>N</v>
      </c>
      <c r="N314" s="773" t="str">
        <f t="shared" si="398"/>
        <v>N</v>
      </c>
      <c r="O314" s="773"/>
      <c r="P314" s="773" t="str">
        <f t="shared" ref="P314:AC314" si="399">P300</f>
        <v>A</v>
      </c>
      <c r="Q314" s="773" t="str">
        <f t="shared" si="399"/>
        <v>A</v>
      </c>
      <c r="R314" s="773" t="str">
        <f t="shared" si="399"/>
        <v>A</v>
      </c>
      <c r="S314" s="773" t="str">
        <f t="shared" si="399"/>
        <v>A</v>
      </c>
      <c r="T314" s="773" t="str">
        <f t="shared" si="399"/>
        <v>A</v>
      </c>
      <c r="U314" s="773" t="str">
        <f t="shared" si="399"/>
        <v>A</v>
      </c>
      <c r="V314" s="773" t="str">
        <f t="shared" si="399"/>
        <v>A</v>
      </c>
      <c r="W314" s="773" t="str">
        <f t="shared" si="399"/>
        <v>A</v>
      </c>
      <c r="X314" s="773" t="str">
        <f t="shared" si="399"/>
        <v>A</v>
      </c>
      <c r="Y314" s="773" t="str">
        <f t="shared" si="399"/>
        <v>A</v>
      </c>
      <c r="Z314" s="773" t="str">
        <f t="shared" si="399"/>
        <v>A</v>
      </c>
      <c r="AA314" s="773" t="str">
        <f t="shared" si="399"/>
        <v>A</v>
      </c>
      <c r="AB314" s="773" t="str">
        <f t="shared" si="399"/>
        <v>A</v>
      </c>
      <c r="AC314" s="773" t="str">
        <f t="shared" si="399"/>
        <v>A</v>
      </c>
      <c r="AD314" s="876"/>
      <c r="AE314" s="863"/>
      <c r="AF314" s="870"/>
      <c r="AG314" s="1019"/>
      <c r="AH314" s="802"/>
      <c r="AI314" s="803"/>
    </row>
    <row r="315" spans="1:51" hidden="1" outlineLevel="1" x14ac:dyDescent="0.3">
      <c r="A315" s="159"/>
      <c r="B315" s="1191"/>
      <c r="C315" s="735" t="str">
        <f>'Optimalizačné opatrenia'!$B$10</f>
        <v>Transparentnosť</v>
      </c>
      <c r="D315" s="788" t="str">
        <f t="shared" si="383"/>
        <v>N</v>
      </c>
      <c r="E315" s="773" t="str">
        <f t="shared" si="383"/>
        <v>N</v>
      </c>
      <c r="F315" s="773" t="str">
        <f t="shared" si="383"/>
        <v>N</v>
      </c>
      <c r="G315" s="773" t="str">
        <f t="shared" si="383"/>
        <v>N</v>
      </c>
      <c r="H315" s="773"/>
      <c r="I315" s="773"/>
      <c r="J315" s="773"/>
      <c r="K315" s="773"/>
      <c r="L315" s="773" t="str">
        <f t="shared" ref="L315:N315" si="400">L301</f>
        <v>N</v>
      </c>
      <c r="M315" s="773" t="str">
        <f t="shared" si="400"/>
        <v>N</v>
      </c>
      <c r="N315" s="773" t="str">
        <f t="shared" si="400"/>
        <v>N</v>
      </c>
      <c r="O315" s="773"/>
      <c r="P315" s="773" t="str">
        <f t="shared" ref="P315:AC315" si="401">P301</f>
        <v>A</v>
      </c>
      <c r="Q315" s="773" t="str">
        <f t="shared" si="401"/>
        <v>N</v>
      </c>
      <c r="R315" s="773" t="str">
        <f t="shared" si="401"/>
        <v>N</v>
      </c>
      <c r="S315" s="773" t="str">
        <f t="shared" si="401"/>
        <v>N</v>
      </c>
      <c r="T315" s="773" t="str">
        <f t="shared" si="401"/>
        <v>N</v>
      </c>
      <c r="U315" s="773" t="str">
        <f t="shared" si="401"/>
        <v>N</v>
      </c>
      <c r="V315" s="773" t="str">
        <f t="shared" si="401"/>
        <v>A</v>
      </c>
      <c r="W315" s="773" t="str">
        <f t="shared" si="401"/>
        <v>N</v>
      </c>
      <c r="X315" s="773" t="str">
        <f t="shared" si="401"/>
        <v>N</v>
      </c>
      <c r="Y315" s="773" t="str">
        <f t="shared" si="401"/>
        <v>N</v>
      </c>
      <c r="Z315" s="773" t="str">
        <f t="shared" si="401"/>
        <v>N</v>
      </c>
      <c r="AA315" s="773" t="str">
        <f t="shared" si="401"/>
        <v>A</v>
      </c>
      <c r="AB315" s="773" t="str">
        <f t="shared" si="401"/>
        <v>N</v>
      </c>
      <c r="AC315" s="773" t="str">
        <f t="shared" si="401"/>
        <v>N</v>
      </c>
      <c r="AD315" s="876"/>
      <c r="AE315" s="863"/>
      <c r="AF315" s="870"/>
      <c r="AG315" s="1019"/>
      <c r="AH315" s="802"/>
      <c r="AI315" s="803"/>
    </row>
    <row r="316" spans="1:51" hidden="1" outlineLevel="1" x14ac:dyDescent="0.3">
      <c r="A316" s="159"/>
      <c r="B316" s="1191"/>
      <c r="C316" s="735" t="str">
        <f>'Optimalizačné opatrenia'!$B$11</f>
        <v>Analyzovatelnosť</v>
      </c>
      <c r="D316" s="788" t="str">
        <f t="shared" si="383"/>
        <v>N</v>
      </c>
      <c r="E316" s="773" t="str">
        <f t="shared" si="383"/>
        <v>N</v>
      </c>
      <c r="F316" s="773" t="str">
        <f t="shared" si="383"/>
        <v>N</v>
      </c>
      <c r="G316" s="773" t="str">
        <f t="shared" si="383"/>
        <v>A</v>
      </c>
      <c r="H316" s="773"/>
      <c r="I316" s="773"/>
      <c r="J316" s="773"/>
      <c r="K316" s="773"/>
      <c r="L316" s="773" t="str">
        <f t="shared" ref="L316:N316" si="402">L302</f>
        <v>N</v>
      </c>
      <c r="M316" s="773" t="str">
        <f t="shared" si="402"/>
        <v>N</v>
      </c>
      <c r="N316" s="773" t="str">
        <f t="shared" si="402"/>
        <v>N</v>
      </c>
      <c r="O316" s="773"/>
      <c r="P316" s="773" t="str">
        <f t="shared" ref="P316:AC316" si="403">P302</f>
        <v>A</v>
      </c>
      <c r="Q316" s="773" t="str">
        <f t="shared" si="403"/>
        <v>A</v>
      </c>
      <c r="R316" s="773" t="str">
        <f t="shared" si="403"/>
        <v>A</v>
      </c>
      <c r="S316" s="773" t="str">
        <f t="shared" si="403"/>
        <v>A</v>
      </c>
      <c r="T316" s="773" t="str">
        <f t="shared" si="403"/>
        <v>A</v>
      </c>
      <c r="U316" s="773" t="str">
        <f t="shared" si="403"/>
        <v>A</v>
      </c>
      <c r="V316" s="773" t="str">
        <f t="shared" si="403"/>
        <v>A</v>
      </c>
      <c r="W316" s="773" t="str">
        <f t="shared" si="403"/>
        <v>A</v>
      </c>
      <c r="X316" s="773" t="str">
        <f t="shared" si="403"/>
        <v>A</v>
      </c>
      <c r="Y316" s="773" t="str">
        <f t="shared" si="403"/>
        <v>A</v>
      </c>
      <c r="Z316" s="773" t="str">
        <f t="shared" si="403"/>
        <v>A</v>
      </c>
      <c r="AA316" s="773" t="str">
        <f t="shared" si="403"/>
        <v>A</v>
      </c>
      <c r="AB316" s="773" t="str">
        <f t="shared" si="403"/>
        <v>A</v>
      </c>
      <c r="AC316" s="773" t="str">
        <f t="shared" si="403"/>
        <v>A</v>
      </c>
      <c r="AD316" s="876"/>
      <c r="AE316" s="863"/>
      <c r="AF316" s="870"/>
      <c r="AG316" s="1019"/>
      <c r="AH316" s="802"/>
      <c r="AI316" s="803"/>
    </row>
    <row r="317" spans="1:51" hidden="1" outlineLevel="1" x14ac:dyDescent="0.3">
      <c r="A317" s="159"/>
      <c r="B317" s="1191"/>
      <c r="C317" s="735" t="str">
        <f>'Optimalizačné opatrenia'!$B$12</f>
        <v>Integrácia</v>
      </c>
      <c r="D317" s="788" t="str">
        <f t="shared" si="383"/>
        <v>N</v>
      </c>
      <c r="E317" s="773" t="str">
        <f t="shared" si="383"/>
        <v>N</v>
      </c>
      <c r="F317" s="773" t="str">
        <f t="shared" si="383"/>
        <v>N</v>
      </c>
      <c r="G317" s="773" t="str">
        <f t="shared" si="383"/>
        <v>A</v>
      </c>
      <c r="H317" s="773"/>
      <c r="I317" s="773"/>
      <c r="J317" s="773"/>
      <c r="K317" s="773"/>
      <c r="L317" s="773" t="str">
        <f t="shared" ref="L317:N317" si="404">L303</f>
        <v>A</v>
      </c>
      <c r="M317" s="773" t="str">
        <f t="shared" si="404"/>
        <v>N</v>
      </c>
      <c r="N317" s="773" t="str">
        <f t="shared" si="404"/>
        <v>N</v>
      </c>
      <c r="O317" s="773"/>
      <c r="P317" s="773" t="str">
        <f t="shared" ref="P317:AC317" si="405">P303</f>
        <v>A</v>
      </c>
      <c r="Q317" s="773" t="str">
        <f t="shared" si="405"/>
        <v>A</v>
      </c>
      <c r="R317" s="773" t="str">
        <f t="shared" si="405"/>
        <v>A</v>
      </c>
      <c r="S317" s="773" t="str">
        <f t="shared" si="405"/>
        <v>A</v>
      </c>
      <c r="T317" s="773" t="str">
        <f t="shared" si="405"/>
        <v>A</v>
      </c>
      <c r="U317" s="773" t="str">
        <f t="shared" si="405"/>
        <v>A</v>
      </c>
      <c r="V317" s="773" t="str">
        <f t="shared" si="405"/>
        <v>A</v>
      </c>
      <c r="W317" s="773" t="str">
        <f t="shared" si="405"/>
        <v>A</v>
      </c>
      <c r="X317" s="773" t="str">
        <f t="shared" si="405"/>
        <v>A</v>
      </c>
      <c r="Y317" s="773" t="str">
        <f t="shared" si="405"/>
        <v>A</v>
      </c>
      <c r="Z317" s="773" t="str">
        <f t="shared" si="405"/>
        <v>A</v>
      </c>
      <c r="AA317" s="773" t="str">
        <f t="shared" si="405"/>
        <v>A</v>
      </c>
      <c r="AB317" s="773" t="str">
        <f t="shared" si="405"/>
        <v>A</v>
      </c>
      <c r="AC317" s="773" t="str">
        <f t="shared" si="405"/>
        <v>A</v>
      </c>
      <c r="AD317" s="876"/>
      <c r="AE317" s="863"/>
      <c r="AF317" s="870"/>
      <c r="AG317" s="1019"/>
      <c r="AH317" s="802"/>
      <c r="AI317" s="803"/>
    </row>
    <row r="318" spans="1:51" hidden="1" outlineLevel="1" x14ac:dyDescent="0.3">
      <c r="A318" s="159"/>
      <c r="B318" s="1191"/>
      <c r="C318" s="740" t="str">
        <f>'Optimalizačné opatrenia'!$B$13</f>
        <v>Proaktivita</v>
      </c>
      <c r="D318" s="788" t="str">
        <f t="shared" si="383"/>
        <v>N</v>
      </c>
      <c r="E318" s="773" t="str">
        <f t="shared" si="383"/>
        <v>N</v>
      </c>
      <c r="F318" s="773" t="str">
        <f t="shared" si="383"/>
        <v>N</v>
      </c>
      <c r="G318" s="773" t="str">
        <f t="shared" si="383"/>
        <v>N</v>
      </c>
      <c r="H318" s="773"/>
      <c r="I318" s="773"/>
      <c r="J318" s="773"/>
      <c r="K318" s="773"/>
      <c r="L318" s="773" t="str">
        <f t="shared" ref="L318:N318" si="406">L304</f>
        <v>A</v>
      </c>
      <c r="M318" s="773" t="str">
        <f t="shared" si="406"/>
        <v>N</v>
      </c>
      <c r="N318" s="773" t="str">
        <f t="shared" si="406"/>
        <v>N</v>
      </c>
      <c r="O318" s="773"/>
      <c r="P318" s="773" t="str">
        <f t="shared" ref="P318:AC318" si="407">P304</f>
        <v>N</v>
      </c>
      <c r="Q318" s="773" t="str">
        <f t="shared" si="407"/>
        <v>N</v>
      </c>
      <c r="R318" s="773" t="str">
        <f t="shared" si="407"/>
        <v>A</v>
      </c>
      <c r="S318" s="773" t="str">
        <f t="shared" si="407"/>
        <v>A</v>
      </c>
      <c r="T318" s="773" t="str">
        <f t="shared" si="407"/>
        <v>A</v>
      </c>
      <c r="U318" s="773" t="str">
        <f t="shared" si="407"/>
        <v>N</v>
      </c>
      <c r="V318" s="773" t="str">
        <f t="shared" si="407"/>
        <v>A</v>
      </c>
      <c r="W318" s="773" t="str">
        <f t="shared" si="407"/>
        <v>N</v>
      </c>
      <c r="X318" s="773" t="str">
        <f t="shared" si="407"/>
        <v>N</v>
      </c>
      <c r="Y318" s="773" t="str">
        <f t="shared" si="407"/>
        <v>A</v>
      </c>
      <c r="Z318" s="773" t="str">
        <f t="shared" si="407"/>
        <v>A</v>
      </c>
      <c r="AA318" s="773" t="str">
        <f t="shared" si="407"/>
        <v>A</v>
      </c>
      <c r="AB318" s="773" t="str">
        <f t="shared" si="407"/>
        <v>N</v>
      </c>
      <c r="AC318" s="773" t="str">
        <f t="shared" si="407"/>
        <v>A</v>
      </c>
      <c r="AD318" s="876"/>
      <c r="AE318" s="863"/>
      <c r="AF318" s="870"/>
      <c r="AG318" s="1019"/>
      <c r="AH318" s="802"/>
      <c r="AI318" s="803"/>
    </row>
    <row r="319" spans="1:51" hidden="1" outlineLevel="1" x14ac:dyDescent="0.3">
      <c r="A319" s="159"/>
      <c r="B319" s="790"/>
      <c r="C319" s="792" t="s">
        <v>550</v>
      </c>
      <c r="D319" s="793">
        <f t="shared" si="383"/>
        <v>0</v>
      </c>
      <c r="E319" s="791">
        <f t="shared" si="383"/>
        <v>0</v>
      </c>
      <c r="F319" s="794">
        <f t="shared" si="383"/>
        <v>0</v>
      </c>
      <c r="G319" s="794">
        <f t="shared" si="383"/>
        <v>0.3</v>
      </c>
      <c r="H319" s="794"/>
      <c r="I319" s="794"/>
      <c r="J319" s="794"/>
      <c r="K319" s="794"/>
      <c r="L319" s="794">
        <f t="shared" ref="L319:N319" si="408">L305</f>
        <v>0.25</v>
      </c>
      <c r="M319" s="794">
        <f t="shared" si="408"/>
        <v>0</v>
      </c>
      <c r="N319" s="794">
        <f t="shared" si="408"/>
        <v>0</v>
      </c>
      <c r="O319" s="794"/>
      <c r="P319" s="794">
        <f t="shared" ref="P319:AC319" si="409">P305</f>
        <v>0.45</v>
      </c>
      <c r="Q319" s="794">
        <f t="shared" si="409"/>
        <v>0.3</v>
      </c>
      <c r="R319" s="794">
        <f t="shared" si="409"/>
        <v>0.4</v>
      </c>
      <c r="S319" s="794">
        <f t="shared" si="409"/>
        <v>0.4</v>
      </c>
      <c r="T319" s="794">
        <f t="shared" si="409"/>
        <v>0.4</v>
      </c>
      <c r="U319" s="794">
        <f t="shared" si="409"/>
        <v>0.3</v>
      </c>
      <c r="V319" s="794">
        <f t="shared" si="409"/>
        <v>0.5</v>
      </c>
      <c r="W319" s="794">
        <f t="shared" si="409"/>
        <v>0.3</v>
      </c>
      <c r="X319" s="794">
        <f t="shared" si="409"/>
        <v>0.3</v>
      </c>
      <c r="Y319" s="794">
        <f t="shared" si="409"/>
        <v>0.4</v>
      </c>
      <c r="Z319" s="794">
        <f t="shared" si="409"/>
        <v>0.4</v>
      </c>
      <c r="AA319" s="794">
        <f t="shared" si="409"/>
        <v>0.5</v>
      </c>
      <c r="AB319" s="794">
        <f t="shared" si="409"/>
        <v>0.3</v>
      </c>
      <c r="AC319" s="794">
        <f t="shared" si="409"/>
        <v>0.4</v>
      </c>
      <c r="AD319" s="877"/>
      <c r="AE319" s="864"/>
      <c r="AF319" s="871"/>
      <c r="AG319" s="1020"/>
      <c r="AH319" s="805"/>
      <c r="AI319" s="806"/>
    </row>
    <row r="320" spans="1:51" ht="43.8" customHeight="1" collapsed="1" x14ac:dyDescent="0.3">
      <c r="A320" s="159">
        <f ca="1">OFFSET(A320,-14,0)+1</f>
        <v>23</v>
      </c>
      <c r="B320" s="1013" t="str">
        <f ca="1">'Procesy - AS IS'!B78</f>
        <v>Meranie č. 23</v>
      </c>
      <c r="C320" s="739" t="str">
        <f>'Procesy - AS IS'!C78</f>
        <v>Štefan Fraňo, Ochrana ohrozených druhov, ktoré sú predmetom dohovoru CITES, 7840/2017</v>
      </c>
      <c r="D320" s="796">
        <f>-'Procesy - AS IS'!D80*D333</f>
        <v>0</v>
      </c>
      <c r="E320" s="721">
        <f>-'Procesy - AS IS'!E80*E333</f>
        <v>0</v>
      </c>
      <c r="F320" s="721">
        <f>-'Procesy - AS IS'!F80*F333</f>
        <v>0</v>
      </c>
      <c r="G320" s="721">
        <f>-'Procesy - AS IS'!G80*G333</f>
        <v>-1.2</v>
      </c>
      <c r="H320" s="721" t="s">
        <v>568</v>
      </c>
      <c r="I320" s="721" t="s">
        <v>568</v>
      </c>
      <c r="J320" s="721" t="s">
        <v>568</v>
      </c>
      <c r="K320" s="721" t="s">
        <v>568</v>
      </c>
      <c r="L320" s="721">
        <f>-'Procesy - AS IS'!L80*L333</f>
        <v>0</v>
      </c>
      <c r="M320" s="721">
        <f>-'Procesy - AS IS'!M80*M333</f>
        <v>0</v>
      </c>
      <c r="N320" s="721">
        <f>-'Procesy - AS IS'!N80*N333</f>
        <v>0</v>
      </c>
      <c r="O320" s="721" t="s">
        <v>572</v>
      </c>
      <c r="P320" s="721">
        <f>-'Procesy - AS IS'!P80*P333</f>
        <v>-0.45</v>
      </c>
      <c r="Q320" s="721">
        <f>-'Procesy - AS IS'!Q80*Q333</f>
        <v>0</v>
      </c>
      <c r="R320" s="721">
        <f>-'Procesy - AS IS'!R80*R333</f>
        <v>-8.1692307692307704</v>
      </c>
      <c r="S320" s="721">
        <f>-'Procesy - AS IS'!S80*S333</f>
        <v>-0.1730769230769231</v>
      </c>
      <c r="T320" s="721">
        <f>-'Procesy - AS IS'!T80*T333</f>
        <v>-2.7230769230769232</v>
      </c>
      <c r="U320" s="721">
        <f>-'Procesy - AS IS'!U80*U333</f>
        <v>-1.0384615384615385</v>
      </c>
      <c r="V320" s="721">
        <f>-'Procesy - AS IS'!V80*V333</f>
        <v>-0.25</v>
      </c>
      <c r="W320" s="721">
        <f>-'Procesy - AS IS'!W80*W333</f>
        <v>-5.7692307692307696E-2</v>
      </c>
      <c r="X320" s="721">
        <f>-'Procesy - AS IS'!X80*X333</f>
        <v>0</v>
      </c>
      <c r="Y320" s="721">
        <f>-'Procesy - AS IS'!Y80*Y333</f>
        <v>-2.4615384615384617</v>
      </c>
      <c r="Z320" s="721">
        <f>-'Procesy - AS IS'!Z80*Z333</f>
        <v>-9.6153846153846159E-3</v>
      </c>
      <c r="AA320" s="721">
        <f>-'Procesy - AS IS'!AA80*AA333</f>
        <v>-2.403846153846154E-2</v>
      </c>
      <c r="AB320" s="721">
        <f>-'Procesy - AS IS'!AB80*AB333</f>
        <v>-0.11538461538461539</v>
      </c>
      <c r="AC320" s="721">
        <f>-'Procesy - AS IS'!AC80*AC333</f>
        <v>-3.0769230769230771</v>
      </c>
      <c r="AD320" s="824">
        <f>SUM(D320:AC320)</f>
        <v>-19.749038461538465</v>
      </c>
      <c r="AE320" s="798">
        <f>AD320/'Procesy - AS IS'!AD80</f>
        <v>-0.38632559014389173</v>
      </c>
      <c r="AF320" s="869">
        <f>('Procesy - AS IS'!AG80/(1+$AE320)-'Procesy - AS IS'!AG80)/2</f>
        <v>32.73548703488018</v>
      </c>
      <c r="AG320" s="1018">
        <f>('Procesy - AS IS'!AH80/(1+$AE320)-'Procesy - AS IS'!AH80)/2</f>
        <v>18.571093606326251</v>
      </c>
      <c r="AH320" s="800">
        <f>('Procesy - AS IS'!AI80/(1+$AE320)-'Procesy - AS IS'!AI80)/2</f>
        <v>12.590571936492374</v>
      </c>
      <c r="AI320" s="801">
        <f>('Procesy - AS IS'!AJ80/(1+$AE320)-'Procesy - AS IS'!AJ80)/2</f>
        <v>1.5738214920615468</v>
      </c>
      <c r="AK320" s="232"/>
      <c r="AY320" s="227"/>
    </row>
    <row r="321" spans="1:51" hidden="1" outlineLevel="1" x14ac:dyDescent="0.3">
      <c r="A321" s="159"/>
      <c r="B321" s="1190" t="s">
        <v>540</v>
      </c>
      <c r="C321" s="735" t="str">
        <f>'Optimalizačné opatrenia'!$B$2</f>
        <v>Modernizácia</v>
      </c>
      <c r="D321" s="788" t="str">
        <f t="shared" ref="D321:G321" si="410">D307</f>
        <v>N</v>
      </c>
      <c r="E321" s="773" t="str">
        <f t="shared" si="410"/>
        <v>N</v>
      </c>
      <c r="F321" s="773" t="str">
        <f t="shared" si="410"/>
        <v>N</v>
      </c>
      <c r="G321" s="773" t="str">
        <f t="shared" si="410"/>
        <v>A</v>
      </c>
      <c r="H321" s="773"/>
      <c r="I321" s="773"/>
      <c r="J321" s="773"/>
      <c r="K321" s="773"/>
      <c r="L321" s="773" t="str">
        <f t="shared" ref="L321:N321" si="411">L307</f>
        <v>A</v>
      </c>
      <c r="M321" s="773" t="str">
        <f t="shared" si="411"/>
        <v>N</v>
      </c>
      <c r="N321" s="773" t="str">
        <f t="shared" si="411"/>
        <v>N</v>
      </c>
      <c r="O321" s="773"/>
      <c r="P321" s="773" t="str">
        <f t="shared" ref="P321:AC321" si="412">P307</f>
        <v>A</v>
      </c>
      <c r="Q321" s="773" t="str">
        <f t="shared" si="412"/>
        <v>A</v>
      </c>
      <c r="R321" s="773" t="str">
        <f t="shared" si="412"/>
        <v>A</v>
      </c>
      <c r="S321" s="773" t="str">
        <f t="shared" si="412"/>
        <v>A</v>
      </c>
      <c r="T321" s="773" t="str">
        <f t="shared" si="412"/>
        <v>A</v>
      </c>
      <c r="U321" s="773" t="str">
        <f t="shared" si="412"/>
        <v>A</v>
      </c>
      <c r="V321" s="773" t="str">
        <f t="shared" si="412"/>
        <v>A</v>
      </c>
      <c r="W321" s="773" t="str">
        <f t="shared" si="412"/>
        <v>A</v>
      </c>
      <c r="X321" s="773" t="str">
        <f t="shared" si="412"/>
        <v>A</v>
      </c>
      <c r="Y321" s="773" t="str">
        <f t="shared" si="412"/>
        <v>A</v>
      </c>
      <c r="Z321" s="773" t="str">
        <f t="shared" si="412"/>
        <v>A</v>
      </c>
      <c r="AA321" s="773" t="str">
        <f t="shared" si="412"/>
        <v>A</v>
      </c>
      <c r="AB321" s="773" t="str">
        <f t="shared" si="412"/>
        <v>A</v>
      </c>
      <c r="AC321" s="773" t="str">
        <f t="shared" si="412"/>
        <v>A</v>
      </c>
      <c r="AD321" s="876"/>
      <c r="AE321" s="863"/>
      <c r="AF321" s="870"/>
      <c r="AG321" s="1019"/>
      <c r="AH321" s="802"/>
      <c r="AI321" s="803"/>
    </row>
    <row r="322" spans="1:51" hidden="1" outlineLevel="1" x14ac:dyDescent="0.3">
      <c r="A322" s="159"/>
      <c r="B322" s="1191"/>
      <c r="C322" s="735" t="str">
        <f>'Optimalizačné opatrenia'!$B$3</f>
        <v>Sfunkčnenie</v>
      </c>
      <c r="D322" s="788" t="str">
        <f t="shared" ref="D322:G322" si="413">D308</f>
        <v>N</v>
      </c>
      <c r="E322" s="773" t="str">
        <f t="shared" si="413"/>
        <v>N</v>
      </c>
      <c r="F322" s="773" t="str">
        <f t="shared" si="413"/>
        <v>N</v>
      </c>
      <c r="G322" s="773" t="str">
        <f t="shared" si="413"/>
        <v>N</v>
      </c>
      <c r="H322" s="773"/>
      <c r="I322" s="773"/>
      <c r="J322" s="773"/>
      <c r="K322" s="773"/>
      <c r="L322" s="773" t="str">
        <f t="shared" ref="L322:N322" si="414">L308</f>
        <v>N</v>
      </c>
      <c r="M322" s="773" t="str">
        <f t="shared" si="414"/>
        <v>N</v>
      </c>
      <c r="N322" s="773" t="str">
        <f t="shared" si="414"/>
        <v>N</v>
      </c>
      <c r="O322" s="773"/>
      <c r="P322" s="773" t="str">
        <f t="shared" ref="P322:AC322" si="415">P308</f>
        <v>N</v>
      </c>
      <c r="Q322" s="773" t="str">
        <f t="shared" si="415"/>
        <v>N</v>
      </c>
      <c r="R322" s="773" t="str">
        <f t="shared" si="415"/>
        <v>N</v>
      </c>
      <c r="S322" s="773" t="str">
        <f t="shared" si="415"/>
        <v>N</v>
      </c>
      <c r="T322" s="773" t="str">
        <f t="shared" si="415"/>
        <v>N</v>
      </c>
      <c r="U322" s="773" t="str">
        <f t="shared" si="415"/>
        <v>N</v>
      </c>
      <c r="V322" s="773" t="str">
        <f t="shared" si="415"/>
        <v>N</v>
      </c>
      <c r="W322" s="773" t="str">
        <f t="shared" si="415"/>
        <v>N</v>
      </c>
      <c r="X322" s="773" t="str">
        <f t="shared" si="415"/>
        <v>N</v>
      </c>
      <c r="Y322" s="773" t="str">
        <f t="shared" si="415"/>
        <v>N</v>
      </c>
      <c r="Z322" s="773" t="str">
        <f t="shared" si="415"/>
        <v>N</v>
      </c>
      <c r="AA322" s="773" t="str">
        <f t="shared" si="415"/>
        <v>N</v>
      </c>
      <c r="AB322" s="773" t="str">
        <f t="shared" si="415"/>
        <v>N</v>
      </c>
      <c r="AC322" s="773" t="str">
        <f t="shared" si="415"/>
        <v>N</v>
      </c>
      <c r="AD322" s="876"/>
      <c r="AE322" s="863"/>
      <c r="AF322" s="870"/>
      <c r="AG322" s="1019"/>
      <c r="AH322" s="802"/>
      <c r="AI322" s="803"/>
    </row>
    <row r="323" spans="1:51" hidden="1" outlineLevel="1" x14ac:dyDescent="0.3">
      <c r="A323" s="159"/>
      <c r="B323" s="1191"/>
      <c r="C323" s="735" t="str">
        <f>'Optimalizačné opatrenia'!$B$4</f>
        <v>Zjednotenie</v>
      </c>
      <c r="D323" s="788" t="str">
        <f t="shared" ref="D323:G323" si="416">D309</f>
        <v>N</v>
      </c>
      <c r="E323" s="773" t="str">
        <f t="shared" si="416"/>
        <v>N</v>
      </c>
      <c r="F323" s="773" t="str">
        <f t="shared" si="416"/>
        <v>N</v>
      </c>
      <c r="G323" s="773" t="str">
        <f t="shared" si="416"/>
        <v>A</v>
      </c>
      <c r="H323" s="773"/>
      <c r="I323" s="773"/>
      <c r="J323" s="773"/>
      <c r="K323" s="773"/>
      <c r="L323" s="773" t="str">
        <f t="shared" ref="L323:N323" si="417">L309</f>
        <v>A</v>
      </c>
      <c r="M323" s="773" t="str">
        <f t="shared" si="417"/>
        <v>N</v>
      </c>
      <c r="N323" s="773" t="str">
        <f t="shared" si="417"/>
        <v>N</v>
      </c>
      <c r="O323" s="773"/>
      <c r="P323" s="773" t="str">
        <f t="shared" ref="P323:AC323" si="418">P309</f>
        <v>A</v>
      </c>
      <c r="Q323" s="773" t="str">
        <f t="shared" si="418"/>
        <v>A</v>
      </c>
      <c r="R323" s="773" t="str">
        <f t="shared" si="418"/>
        <v>A</v>
      </c>
      <c r="S323" s="773" t="str">
        <f t="shared" si="418"/>
        <v>A</v>
      </c>
      <c r="T323" s="773" t="str">
        <f t="shared" si="418"/>
        <v>A</v>
      </c>
      <c r="U323" s="773" t="str">
        <f t="shared" si="418"/>
        <v>A</v>
      </c>
      <c r="V323" s="773" t="str">
        <f t="shared" si="418"/>
        <v>A</v>
      </c>
      <c r="W323" s="773" t="str">
        <f t="shared" si="418"/>
        <v>A</v>
      </c>
      <c r="X323" s="773" t="str">
        <f t="shared" si="418"/>
        <v>A</v>
      </c>
      <c r="Y323" s="773" t="str">
        <f t="shared" si="418"/>
        <v>A</v>
      </c>
      <c r="Z323" s="773" t="str">
        <f t="shared" si="418"/>
        <v>A</v>
      </c>
      <c r="AA323" s="773" t="str">
        <f t="shared" si="418"/>
        <v>A</v>
      </c>
      <c r="AB323" s="773" t="str">
        <f t="shared" si="418"/>
        <v>A</v>
      </c>
      <c r="AC323" s="773" t="str">
        <f t="shared" si="418"/>
        <v>A</v>
      </c>
      <c r="AD323" s="876"/>
      <c r="AE323" s="863"/>
      <c r="AF323" s="870"/>
      <c r="AG323" s="1019"/>
      <c r="AH323" s="802"/>
      <c r="AI323" s="803"/>
    </row>
    <row r="324" spans="1:51" hidden="1" outlineLevel="1" x14ac:dyDescent="0.3">
      <c r="A324" s="159"/>
      <c r="B324" s="1191"/>
      <c r="C324" s="735" t="str">
        <f>'Optimalizačné opatrenia'!$B$5</f>
        <v>Centralizácia</v>
      </c>
      <c r="D324" s="788" t="str">
        <f t="shared" ref="D324:G324" si="419">D310</f>
        <v>N</v>
      </c>
      <c r="E324" s="773" t="str">
        <f t="shared" si="419"/>
        <v>N</v>
      </c>
      <c r="F324" s="773" t="str">
        <f t="shared" si="419"/>
        <v>N</v>
      </c>
      <c r="G324" s="773" t="str">
        <f t="shared" si="419"/>
        <v>A</v>
      </c>
      <c r="H324" s="773"/>
      <c r="I324" s="773"/>
      <c r="J324" s="773"/>
      <c r="K324" s="773"/>
      <c r="L324" s="773" t="str">
        <f t="shared" ref="L324:N324" si="420">L310</f>
        <v>A</v>
      </c>
      <c r="M324" s="773" t="str">
        <f t="shared" si="420"/>
        <v>N</v>
      </c>
      <c r="N324" s="773" t="str">
        <f t="shared" si="420"/>
        <v>N</v>
      </c>
      <c r="O324" s="773"/>
      <c r="P324" s="773" t="str">
        <f t="shared" ref="P324:AC324" si="421">P310</f>
        <v>A</v>
      </c>
      <c r="Q324" s="773" t="str">
        <f t="shared" si="421"/>
        <v>A</v>
      </c>
      <c r="R324" s="773" t="str">
        <f t="shared" si="421"/>
        <v>A</v>
      </c>
      <c r="S324" s="773" t="str">
        <f t="shared" si="421"/>
        <v>A</v>
      </c>
      <c r="T324" s="773" t="str">
        <f t="shared" si="421"/>
        <v>A</v>
      </c>
      <c r="U324" s="773" t="str">
        <f t="shared" si="421"/>
        <v>A</v>
      </c>
      <c r="V324" s="773" t="str">
        <f t="shared" si="421"/>
        <v>A</v>
      </c>
      <c r="W324" s="773" t="str">
        <f t="shared" si="421"/>
        <v>A</v>
      </c>
      <c r="X324" s="773" t="str">
        <f t="shared" si="421"/>
        <v>A</v>
      </c>
      <c r="Y324" s="773" t="str">
        <f t="shared" si="421"/>
        <v>A</v>
      </c>
      <c r="Z324" s="773" t="str">
        <f t="shared" si="421"/>
        <v>A</v>
      </c>
      <c r="AA324" s="773" t="str">
        <f t="shared" si="421"/>
        <v>A</v>
      </c>
      <c r="AB324" s="773" t="str">
        <f t="shared" si="421"/>
        <v>A</v>
      </c>
      <c r="AC324" s="773" t="str">
        <f t="shared" si="421"/>
        <v>A</v>
      </c>
      <c r="AD324" s="876"/>
      <c r="AE324" s="863"/>
      <c r="AF324" s="870"/>
      <c r="AG324" s="1019"/>
      <c r="AH324" s="802"/>
      <c r="AI324" s="803"/>
    </row>
    <row r="325" spans="1:51" hidden="1" outlineLevel="1" x14ac:dyDescent="0.3">
      <c r="A325" s="159"/>
      <c r="B325" s="1191"/>
      <c r="C325" s="735" t="str">
        <f>'Optimalizačné opatrenia'!$B$6</f>
        <v>Elektronizácia</v>
      </c>
      <c r="D325" s="788" t="str">
        <f t="shared" ref="D325:G325" si="422">D311</f>
        <v>N</v>
      </c>
      <c r="E325" s="773" t="str">
        <f t="shared" si="422"/>
        <v>N</v>
      </c>
      <c r="F325" s="773" t="str">
        <f t="shared" si="422"/>
        <v>N</v>
      </c>
      <c r="G325" s="773" t="str">
        <f t="shared" si="422"/>
        <v>A</v>
      </c>
      <c r="H325" s="773"/>
      <c r="I325" s="773"/>
      <c r="J325" s="773"/>
      <c r="K325" s="773"/>
      <c r="L325" s="773" t="str">
        <f t="shared" ref="L325:N325" si="423">L311</f>
        <v>A</v>
      </c>
      <c r="M325" s="773" t="str">
        <f t="shared" si="423"/>
        <v>N</v>
      </c>
      <c r="N325" s="773" t="str">
        <f t="shared" si="423"/>
        <v>N</v>
      </c>
      <c r="O325" s="773"/>
      <c r="P325" s="773" t="str">
        <f t="shared" ref="P325:AC325" si="424">P311</f>
        <v>A</v>
      </c>
      <c r="Q325" s="773" t="str">
        <f t="shared" si="424"/>
        <v>A</v>
      </c>
      <c r="R325" s="773" t="str">
        <f t="shared" si="424"/>
        <v>A</v>
      </c>
      <c r="S325" s="773" t="str">
        <f t="shared" si="424"/>
        <v>A</v>
      </c>
      <c r="T325" s="773" t="str">
        <f t="shared" si="424"/>
        <v>A</v>
      </c>
      <c r="U325" s="773" t="str">
        <f t="shared" si="424"/>
        <v>A</v>
      </c>
      <c r="V325" s="773" t="str">
        <f t="shared" si="424"/>
        <v>A</v>
      </c>
      <c r="W325" s="773" t="str">
        <f t="shared" si="424"/>
        <v>A</v>
      </c>
      <c r="X325" s="773" t="str">
        <f t="shared" si="424"/>
        <v>A</v>
      </c>
      <c r="Y325" s="773" t="str">
        <f t="shared" si="424"/>
        <v>A</v>
      </c>
      <c r="Z325" s="773" t="str">
        <f t="shared" si="424"/>
        <v>A</v>
      </c>
      <c r="AA325" s="773" t="str">
        <f t="shared" si="424"/>
        <v>A</v>
      </c>
      <c r="AB325" s="773" t="str">
        <f t="shared" si="424"/>
        <v>A</v>
      </c>
      <c r="AC325" s="773" t="str">
        <f t="shared" si="424"/>
        <v>A</v>
      </c>
      <c r="AD325" s="876"/>
      <c r="AE325" s="863"/>
      <c r="AF325" s="870"/>
      <c r="AG325" s="1019"/>
      <c r="AH325" s="802"/>
      <c r="AI325" s="803"/>
    </row>
    <row r="326" spans="1:51" hidden="1" outlineLevel="1" x14ac:dyDescent="0.3">
      <c r="A326" s="159"/>
      <c r="B326" s="1191"/>
      <c r="C326" s="735" t="str">
        <f>'Optimalizačné opatrenia'!$B$7</f>
        <v>Automatizácia</v>
      </c>
      <c r="D326" s="788" t="str">
        <f t="shared" ref="D326:G326" si="425">D312</f>
        <v>N</v>
      </c>
      <c r="E326" s="773" t="str">
        <f t="shared" si="425"/>
        <v>N</v>
      </c>
      <c r="F326" s="773" t="str">
        <f t="shared" si="425"/>
        <v>N</v>
      </c>
      <c r="G326" s="773" t="str">
        <f t="shared" si="425"/>
        <v>A</v>
      </c>
      <c r="H326" s="773"/>
      <c r="I326" s="773"/>
      <c r="J326" s="773"/>
      <c r="K326" s="773"/>
      <c r="L326" s="773" t="str">
        <f t="shared" ref="L326:N326" si="426">L312</f>
        <v>A</v>
      </c>
      <c r="M326" s="773" t="str">
        <f t="shared" si="426"/>
        <v>N</v>
      </c>
      <c r="N326" s="773" t="str">
        <f t="shared" si="426"/>
        <v>N</v>
      </c>
      <c r="O326" s="773"/>
      <c r="P326" s="773" t="str">
        <f t="shared" ref="P326:AC326" si="427">P312</f>
        <v>A</v>
      </c>
      <c r="Q326" s="773" t="str">
        <f t="shared" si="427"/>
        <v>A</v>
      </c>
      <c r="R326" s="773" t="str">
        <f t="shared" si="427"/>
        <v>A</v>
      </c>
      <c r="S326" s="773" t="str">
        <f t="shared" si="427"/>
        <v>A</v>
      </c>
      <c r="T326" s="773" t="str">
        <f t="shared" si="427"/>
        <v>A</v>
      </c>
      <c r="U326" s="773" t="str">
        <f t="shared" si="427"/>
        <v>A</v>
      </c>
      <c r="V326" s="773" t="str">
        <f t="shared" si="427"/>
        <v>A</v>
      </c>
      <c r="W326" s="773" t="str">
        <f t="shared" si="427"/>
        <v>A</v>
      </c>
      <c r="X326" s="773" t="str">
        <f t="shared" si="427"/>
        <v>A</v>
      </c>
      <c r="Y326" s="773" t="str">
        <f t="shared" si="427"/>
        <v>A</v>
      </c>
      <c r="Z326" s="773" t="str">
        <f t="shared" si="427"/>
        <v>A</v>
      </c>
      <c r="AA326" s="773" t="str">
        <f t="shared" si="427"/>
        <v>A</v>
      </c>
      <c r="AB326" s="773" t="str">
        <f t="shared" si="427"/>
        <v>A</v>
      </c>
      <c r="AC326" s="773" t="str">
        <f t="shared" si="427"/>
        <v>A</v>
      </c>
      <c r="AD326" s="876"/>
      <c r="AE326" s="863"/>
      <c r="AF326" s="870"/>
      <c r="AG326" s="1019"/>
      <c r="AH326" s="802"/>
      <c r="AI326" s="803"/>
    </row>
    <row r="327" spans="1:51" hidden="1" outlineLevel="1" x14ac:dyDescent="0.3">
      <c r="A327" s="159"/>
      <c r="B327" s="1191"/>
      <c r="C327" s="735" t="str">
        <f>'Optimalizačné opatrenia'!$B$8</f>
        <v>Bezpečnosť</v>
      </c>
      <c r="D327" s="788" t="str">
        <f t="shared" ref="D327:G327" si="428">D313</f>
        <v>N</v>
      </c>
      <c r="E327" s="773" t="str">
        <f t="shared" si="428"/>
        <v>N</v>
      </c>
      <c r="F327" s="773" t="str">
        <f t="shared" si="428"/>
        <v>N</v>
      </c>
      <c r="G327" s="773" t="str">
        <f t="shared" si="428"/>
        <v>A</v>
      </c>
      <c r="H327" s="773"/>
      <c r="I327" s="773"/>
      <c r="J327" s="773"/>
      <c r="K327" s="773"/>
      <c r="L327" s="773" t="str">
        <f t="shared" ref="L327:N327" si="429">L313</f>
        <v>A</v>
      </c>
      <c r="M327" s="773" t="str">
        <f t="shared" si="429"/>
        <v>N</v>
      </c>
      <c r="N327" s="773" t="str">
        <f t="shared" si="429"/>
        <v>N</v>
      </c>
      <c r="O327" s="773"/>
      <c r="P327" s="773" t="str">
        <f t="shared" ref="P327:AC327" si="430">P313</f>
        <v>A</v>
      </c>
      <c r="Q327" s="773" t="str">
        <f t="shared" si="430"/>
        <v>A</v>
      </c>
      <c r="R327" s="773" t="str">
        <f t="shared" si="430"/>
        <v>A</v>
      </c>
      <c r="S327" s="773" t="str">
        <f t="shared" si="430"/>
        <v>A</v>
      </c>
      <c r="T327" s="773" t="str">
        <f t="shared" si="430"/>
        <v>A</v>
      </c>
      <c r="U327" s="773" t="str">
        <f t="shared" si="430"/>
        <v>A</v>
      </c>
      <c r="V327" s="773" t="str">
        <f t="shared" si="430"/>
        <v>A</v>
      </c>
      <c r="W327" s="773" t="str">
        <f t="shared" si="430"/>
        <v>A</v>
      </c>
      <c r="X327" s="773" t="str">
        <f t="shared" si="430"/>
        <v>A</v>
      </c>
      <c r="Y327" s="773" t="str">
        <f t="shared" si="430"/>
        <v>A</v>
      </c>
      <c r="Z327" s="773" t="str">
        <f t="shared" si="430"/>
        <v>A</v>
      </c>
      <c r="AA327" s="773" t="str">
        <f t="shared" si="430"/>
        <v>A</v>
      </c>
      <c r="AB327" s="773" t="str">
        <f t="shared" si="430"/>
        <v>A</v>
      </c>
      <c r="AC327" s="773" t="str">
        <f t="shared" si="430"/>
        <v>A</v>
      </c>
      <c r="AD327" s="876"/>
      <c r="AE327" s="863"/>
      <c r="AF327" s="870"/>
      <c r="AG327" s="1019"/>
      <c r="AH327" s="802"/>
      <c r="AI327" s="803"/>
    </row>
    <row r="328" spans="1:51" hidden="1" outlineLevel="1" x14ac:dyDescent="0.3">
      <c r="A328" s="159"/>
      <c r="B328" s="1191"/>
      <c r="C328" s="735" t="str">
        <f>'Optimalizačné opatrenia'!$B$9</f>
        <v>Auditovateľnosť</v>
      </c>
      <c r="D328" s="788" t="str">
        <f t="shared" ref="D328:G328" si="431">D314</f>
        <v>N</v>
      </c>
      <c r="E328" s="773" t="str">
        <f t="shared" si="431"/>
        <v>N</v>
      </c>
      <c r="F328" s="773" t="str">
        <f t="shared" si="431"/>
        <v>N</v>
      </c>
      <c r="G328" s="773" t="str">
        <f t="shared" si="431"/>
        <v>A</v>
      </c>
      <c r="H328" s="773"/>
      <c r="I328" s="773"/>
      <c r="J328" s="773"/>
      <c r="K328" s="773"/>
      <c r="L328" s="773" t="str">
        <f t="shared" ref="L328:N328" si="432">L314</f>
        <v>N</v>
      </c>
      <c r="M328" s="773" t="str">
        <f t="shared" si="432"/>
        <v>N</v>
      </c>
      <c r="N328" s="773" t="str">
        <f t="shared" si="432"/>
        <v>N</v>
      </c>
      <c r="O328" s="773"/>
      <c r="P328" s="773" t="str">
        <f t="shared" ref="P328:AC328" si="433">P314</f>
        <v>A</v>
      </c>
      <c r="Q328" s="773" t="str">
        <f t="shared" si="433"/>
        <v>A</v>
      </c>
      <c r="R328" s="773" t="str">
        <f t="shared" si="433"/>
        <v>A</v>
      </c>
      <c r="S328" s="773" t="str">
        <f t="shared" si="433"/>
        <v>A</v>
      </c>
      <c r="T328" s="773" t="str">
        <f t="shared" si="433"/>
        <v>A</v>
      </c>
      <c r="U328" s="773" t="str">
        <f t="shared" si="433"/>
        <v>A</v>
      </c>
      <c r="V328" s="773" t="str">
        <f t="shared" si="433"/>
        <v>A</v>
      </c>
      <c r="W328" s="773" t="str">
        <f t="shared" si="433"/>
        <v>A</v>
      </c>
      <c r="X328" s="773" t="str">
        <f t="shared" si="433"/>
        <v>A</v>
      </c>
      <c r="Y328" s="773" t="str">
        <f t="shared" si="433"/>
        <v>A</v>
      </c>
      <c r="Z328" s="773" t="str">
        <f t="shared" si="433"/>
        <v>A</v>
      </c>
      <c r="AA328" s="773" t="str">
        <f t="shared" si="433"/>
        <v>A</v>
      </c>
      <c r="AB328" s="773" t="str">
        <f t="shared" si="433"/>
        <v>A</v>
      </c>
      <c r="AC328" s="773" t="str">
        <f t="shared" si="433"/>
        <v>A</v>
      </c>
      <c r="AD328" s="876"/>
      <c r="AE328" s="863"/>
      <c r="AF328" s="870"/>
      <c r="AG328" s="1019"/>
      <c r="AH328" s="802"/>
      <c r="AI328" s="803"/>
    </row>
    <row r="329" spans="1:51" hidden="1" outlineLevel="1" x14ac:dyDescent="0.3">
      <c r="A329" s="159"/>
      <c r="B329" s="1191"/>
      <c r="C329" s="735" t="str">
        <f>'Optimalizačné opatrenia'!$B$10</f>
        <v>Transparentnosť</v>
      </c>
      <c r="D329" s="788" t="str">
        <f t="shared" ref="D329:G329" si="434">D315</f>
        <v>N</v>
      </c>
      <c r="E329" s="773" t="str">
        <f t="shared" si="434"/>
        <v>N</v>
      </c>
      <c r="F329" s="773" t="str">
        <f t="shared" si="434"/>
        <v>N</v>
      </c>
      <c r="G329" s="773" t="str">
        <f t="shared" si="434"/>
        <v>N</v>
      </c>
      <c r="H329" s="773"/>
      <c r="I329" s="773"/>
      <c r="J329" s="773"/>
      <c r="K329" s="773"/>
      <c r="L329" s="773" t="str">
        <f t="shared" ref="L329:N329" si="435">L315</f>
        <v>N</v>
      </c>
      <c r="M329" s="773" t="str">
        <f t="shared" si="435"/>
        <v>N</v>
      </c>
      <c r="N329" s="773" t="str">
        <f t="shared" si="435"/>
        <v>N</v>
      </c>
      <c r="O329" s="773"/>
      <c r="P329" s="773" t="str">
        <f t="shared" ref="P329:AC329" si="436">P315</f>
        <v>A</v>
      </c>
      <c r="Q329" s="773" t="str">
        <f t="shared" si="436"/>
        <v>N</v>
      </c>
      <c r="R329" s="773" t="str">
        <f t="shared" si="436"/>
        <v>N</v>
      </c>
      <c r="S329" s="773" t="str">
        <f t="shared" si="436"/>
        <v>N</v>
      </c>
      <c r="T329" s="773" t="str">
        <f t="shared" si="436"/>
        <v>N</v>
      </c>
      <c r="U329" s="773" t="str">
        <f t="shared" si="436"/>
        <v>N</v>
      </c>
      <c r="V329" s="773" t="str">
        <f t="shared" si="436"/>
        <v>A</v>
      </c>
      <c r="W329" s="773" t="str">
        <f t="shared" si="436"/>
        <v>N</v>
      </c>
      <c r="X329" s="773" t="str">
        <f t="shared" si="436"/>
        <v>N</v>
      </c>
      <c r="Y329" s="773" t="str">
        <f t="shared" si="436"/>
        <v>N</v>
      </c>
      <c r="Z329" s="773" t="str">
        <f t="shared" si="436"/>
        <v>N</v>
      </c>
      <c r="AA329" s="773" t="str">
        <f t="shared" si="436"/>
        <v>A</v>
      </c>
      <c r="AB329" s="773" t="str">
        <f t="shared" si="436"/>
        <v>N</v>
      </c>
      <c r="AC329" s="773" t="str">
        <f t="shared" si="436"/>
        <v>N</v>
      </c>
      <c r="AD329" s="876"/>
      <c r="AE329" s="863"/>
      <c r="AF329" s="870"/>
      <c r="AG329" s="1019"/>
      <c r="AH329" s="802"/>
      <c r="AI329" s="803"/>
    </row>
    <row r="330" spans="1:51" hidden="1" outlineLevel="1" x14ac:dyDescent="0.3">
      <c r="A330" s="159"/>
      <c r="B330" s="1191"/>
      <c r="C330" s="735" t="str">
        <f>'Optimalizačné opatrenia'!$B$11</f>
        <v>Analyzovatelnosť</v>
      </c>
      <c r="D330" s="788" t="str">
        <f t="shared" ref="D330:G330" si="437">D316</f>
        <v>N</v>
      </c>
      <c r="E330" s="773" t="str">
        <f t="shared" si="437"/>
        <v>N</v>
      </c>
      <c r="F330" s="773" t="str">
        <f t="shared" si="437"/>
        <v>N</v>
      </c>
      <c r="G330" s="773" t="str">
        <f t="shared" si="437"/>
        <v>A</v>
      </c>
      <c r="H330" s="773"/>
      <c r="I330" s="773"/>
      <c r="J330" s="773"/>
      <c r="K330" s="773"/>
      <c r="L330" s="773" t="str">
        <f t="shared" ref="L330:N330" si="438">L316</f>
        <v>N</v>
      </c>
      <c r="M330" s="773" t="str">
        <f t="shared" si="438"/>
        <v>N</v>
      </c>
      <c r="N330" s="773" t="str">
        <f t="shared" si="438"/>
        <v>N</v>
      </c>
      <c r="O330" s="773"/>
      <c r="P330" s="773" t="str">
        <f t="shared" ref="P330:AC330" si="439">P316</f>
        <v>A</v>
      </c>
      <c r="Q330" s="773" t="str">
        <f t="shared" si="439"/>
        <v>A</v>
      </c>
      <c r="R330" s="773" t="str">
        <f t="shared" si="439"/>
        <v>A</v>
      </c>
      <c r="S330" s="773" t="str">
        <f t="shared" si="439"/>
        <v>A</v>
      </c>
      <c r="T330" s="773" t="str">
        <f t="shared" si="439"/>
        <v>A</v>
      </c>
      <c r="U330" s="773" t="str">
        <f t="shared" si="439"/>
        <v>A</v>
      </c>
      <c r="V330" s="773" t="str">
        <f t="shared" si="439"/>
        <v>A</v>
      </c>
      <c r="W330" s="773" t="str">
        <f t="shared" si="439"/>
        <v>A</v>
      </c>
      <c r="X330" s="773" t="str">
        <f t="shared" si="439"/>
        <v>A</v>
      </c>
      <c r="Y330" s="773" t="str">
        <f t="shared" si="439"/>
        <v>A</v>
      </c>
      <c r="Z330" s="773" t="str">
        <f t="shared" si="439"/>
        <v>A</v>
      </c>
      <c r="AA330" s="773" t="str">
        <f t="shared" si="439"/>
        <v>A</v>
      </c>
      <c r="AB330" s="773" t="str">
        <f t="shared" si="439"/>
        <v>A</v>
      </c>
      <c r="AC330" s="773" t="str">
        <f t="shared" si="439"/>
        <v>A</v>
      </c>
      <c r="AD330" s="876"/>
      <c r="AE330" s="863"/>
      <c r="AF330" s="870"/>
      <c r="AG330" s="1019"/>
      <c r="AH330" s="802"/>
      <c r="AI330" s="803"/>
    </row>
    <row r="331" spans="1:51" hidden="1" outlineLevel="1" x14ac:dyDescent="0.3">
      <c r="A331" s="159"/>
      <c r="B331" s="1191"/>
      <c r="C331" s="735" t="str">
        <f>'Optimalizačné opatrenia'!$B$12</f>
        <v>Integrácia</v>
      </c>
      <c r="D331" s="788" t="str">
        <f t="shared" ref="D331:G331" si="440">D317</f>
        <v>N</v>
      </c>
      <c r="E331" s="773" t="str">
        <f t="shared" si="440"/>
        <v>N</v>
      </c>
      <c r="F331" s="773" t="str">
        <f t="shared" si="440"/>
        <v>N</v>
      </c>
      <c r="G331" s="773" t="str">
        <f t="shared" si="440"/>
        <v>A</v>
      </c>
      <c r="H331" s="773"/>
      <c r="I331" s="773"/>
      <c r="J331" s="773"/>
      <c r="K331" s="773"/>
      <c r="L331" s="773" t="str">
        <f t="shared" ref="L331:N331" si="441">L317</f>
        <v>A</v>
      </c>
      <c r="M331" s="773" t="str">
        <f t="shared" si="441"/>
        <v>N</v>
      </c>
      <c r="N331" s="773" t="str">
        <f t="shared" si="441"/>
        <v>N</v>
      </c>
      <c r="O331" s="773"/>
      <c r="P331" s="773" t="str">
        <f t="shared" ref="P331:AC331" si="442">P317</f>
        <v>A</v>
      </c>
      <c r="Q331" s="773" t="str">
        <f t="shared" si="442"/>
        <v>A</v>
      </c>
      <c r="R331" s="773" t="str">
        <f t="shared" si="442"/>
        <v>A</v>
      </c>
      <c r="S331" s="773" t="str">
        <f t="shared" si="442"/>
        <v>A</v>
      </c>
      <c r="T331" s="773" t="str">
        <f t="shared" si="442"/>
        <v>A</v>
      </c>
      <c r="U331" s="773" t="str">
        <f t="shared" si="442"/>
        <v>A</v>
      </c>
      <c r="V331" s="773" t="str">
        <f t="shared" si="442"/>
        <v>A</v>
      </c>
      <c r="W331" s="773" t="str">
        <f t="shared" si="442"/>
        <v>A</v>
      </c>
      <c r="X331" s="773" t="str">
        <f t="shared" si="442"/>
        <v>A</v>
      </c>
      <c r="Y331" s="773" t="str">
        <f t="shared" si="442"/>
        <v>A</v>
      </c>
      <c r="Z331" s="773" t="str">
        <f t="shared" si="442"/>
        <v>A</v>
      </c>
      <c r="AA331" s="773" t="str">
        <f t="shared" si="442"/>
        <v>A</v>
      </c>
      <c r="AB331" s="773" t="str">
        <f t="shared" si="442"/>
        <v>A</v>
      </c>
      <c r="AC331" s="773" t="str">
        <f t="shared" si="442"/>
        <v>A</v>
      </c>
      <c r="AD331" s="876"/>
      <c r="AE331" s="863"/>
      <c r="AF331" s="870"/>
      <c r="AG331" s="1019"/>
      <c r="AH331" s="802"/>
      <c r="AI331" s="803"/>
    </row>
    <row r="332" spans="1:51" hidden="1" outlineLevel="1" x14ac:dyDescent="0.3">
      <c r="A332" s="159"/>
      <c r="B332" s="1191"/>
      <c r="C332" s="740" t="str">
        <f>'Optimalizačné opatrenia'!$B$13</f>
        <v>Proaktivita</v>
      </c>
      <c r="D332" s="788" t="str">
        <f t="shared" ref="D332:G332" si="443">D318</f>
        <v>N</v>
      </c>
      <c r="E332" s="773" t="str">
        <f t="shared" si="443"/>
        <v>N</v>
      </c>
      <c r="F332" s="773" t="str">
        <f t="shared" si="443"/>
        <v>N</v>
      </c>
      <c r="G332" s="773" t="str">
        <f t="shared" si="443"/>
        <v>N</v>
      </c>
      <c r="H332" s="773"/>
      <c r="I332" s="773"/>
      <c r="J332" s="773"/>
      <c r="K332" s="773"/>
      <c r="L332" s="773" t="str">
        <f t="shared" ref="L332:N332" si="444">L318</f>
        <v>A</v>
      </c>
      <c r="M332" s="773" t="str">
        <f t="shared" si="444"/>
        <v>N</v>
      </c>
      <c r="N332" s="773" t="str">
        <f t="shared" si="444"/>
        <v>N</v>
      </c>
      <c r="O332" s="773"/>
      <c r="P332" s="773" t="str">
        <f t="shared" ref="P332:AC332" si="445">P318</f>
        <v>N</v>
      </c>
      <c r="Q332" s="773" t="str">
        <f t="shared" si="445"/>
        <v>N</v>
      </c>
      <c r="R332" s="773" t="str">
        <f t="shared" si="445"/>
        <v>A</v>
      </c>
      <c r="S332" s="773" t="str">
        <f t="shared" si="445"/>
        <v>A</v>
      </c>
      <c r="T332" s="773" t="str">
        <f t="shared" si="445"/>
        <v>A</v>
      </c>
      <c r="U332" s="773" t="str">
        <f t="shared" si="445"/>
        <v>N</v>
      </c>
      <c r="V332" s="773" t="str">
        <f t="shared" si="445"/>
        <v>A</v>
      </c>
      <c r="W332" s="773" t="str">
        <f t="shared" si="445"/>
        <v>N</v>
      </c>
      <c r="X332" s="773" t="str">
        <f t="shared" si="445"/>
        <v>N</v>
      </c>
      <c r="Y332" s="773" t="str">
        <f t="shared" si="445"/>
        <v>A</v>
      </c>
      <c r="Z332" s="773" t="str">
        <f t="shared" si="445"/>
        <v>A</v>
      </c>
      <c r="AA332" s="773" t="str">
        <f t="shared" si="445"/>
        <v>A</v>
      </c>
      <c r="AB332" s="773" t="str">
        <f t="shared" si="445"/>
        <v>N</v>
      </c>
      <c r="AC332" s="773" t="str">
        <f t="shared" si="445"/>
        <v>A</v>
      </c>
      <c r="AD332" s="876"/>
      <c r="AE332" s="863"/>
      <c r="AF332" s="870"/>
      <c r="AG332" s="1019"/>
      <c r="AH332" s="802"/>
      <c r="AI332" s="803"/>
    </row>
    <row r="333" spans="1:51" hidden="1" outlineLevel="1" x14ac:dyDescent="0.3">
      <c r="A333" s="159"/>
      <c r="B333" s="790"/>
      <c r="C333" s="792" t="s">
        <v>550</v>
      </c>
      <c r="D333" s="793">
        <f t="shared" ref="D333:G333" si="446">D319</f>
        <v>0</v>
      </c>
      <c r="E333" s="791">
        <f t="shared" si="446"/>
        <v>0</v>
      </c>
      <c r="F333" s="794">
        <f t="shared" si="446"/>
        <v>0</v>
      </c>
      <c r="G333" s="794">
        <f t="shared" si="446"/>
        <v>0.3</v>
      </c>
      <c r="H333" s="794"/>
      <c r="I333" s="794"/>
      <c r="J333" s="794"/>
      <c r="K333" s="794"/>
      <c r="L333" s="794">
        <f t="shared" ref="L333:N333" si="447">L319</f>
        <v>0.25</v>
      </c>
      <c r="M333" s="794">
        <f t="shared" si="447"/>
        <v>0</v>
      </c>
      <c r="N333" s="794">
        <f t="shared" si="447"/>
        <v>0</v>
      </c>
      <c r="O333" s="794"/>
      <c r="P333" s="794">
        <f t="shared" ref="P333:AC333" si="448">P319</f>
        <v>0.45</v>
      </c>
      <c r="Q333" s="794">
        <f t="shared" si="448"/>
        <v>0.3</v>
      </c>
      <c r="R333" s="794">
        <f t="shared" si="448"/>
        <v>0.4</v>
      </c>
      <c r="S333" s="794">
        <f t="shared" si="448"/>
        <v>0.4</v>
      </c>
      <c r="T333" s="794">
        <f t="shared" si="448"/>
        <v>0.4</v>
      </c>
      <c r="U333" s="794">
        <f t="shared" si="448"/>
        <v>0.3</v>
      </c>
      <c r="V333" s="794">
        <f t="shared" si="448"/>
        <v>0.5</v>
      </c>
      <c r="W333" s="794">
        <f t="shared" si="448"/>
        <v>0.3</v>
      </c>
      <c r="X333" s="794">
        <f t="shared" si="448"/>
        <v>0.3</v>
      </c>
      <c r="Y333" s="794">
        <f t="shared" si="448"/>
        <v>0.4</v>
      </c>
      <c r="Z333" s="794">
        <f t="shared" si="448"/>
        <v>0.4</v>
      </c>
      <c r="AA333" s="794">
        <f t="shared" si="448"/>
        <v>0.5</v>
      </c>
      <c r="AB333" s="794">
        <f t="shared" si="448"/>
        <v>0.3</v>
      </c>
      <c r="AC333" s="794">
        <f t="shared" si="448"/>
        <v>0.4</v>
      </c>
      <c r="AD333" s="877"/>
      <c r="AE333" s="864"/>
      <c r="AF333" s="871"/>
      <c r="AG333" s="1020"/>
      <c r="AH333" s="805"/>
      <c r="AI333" s="806"/>
    </row>
    <row r="334" spans="1:51" ht="43.2" collapsed="1" x14ac:dyDescent="0.3">
      <c r="A334" s="159">
        <f ca="1">OFFSET(A334,-14,0)+1</f>
        <v>24</v>
      </c>
      <c r="B334" s="234" t="str">
        <f ca="1">'Procesy - AS IS'!B81</f>
        <v>Meranie č. 24</v>
      </c>
      <c r="C334" s="718" t="str">
        <f>'Procesy - AS IS'!C81</f>
        <v>Marián Imrišek, Ochrana ohrozených druhov, ktoré sú predmetom dohovoru CITES, 38/2019</v>
      </c>
      <c r="D334" s="796">
        <f>-'Procesy - AS IS'!D83*D347</f>
        <v>0</v>
      </c>
      <c r="E334" s="721">
        <f>-'Procesy - AS IS'!E83*E347</f>
        <v>0</v>
      </c>
      <c r="F334" s="721">
        <f>-'Procesy - AS IS'!F83*F347</f>
        <v>0</v>
      </c>
      <c r="G334" s="721">
        <f>-'Procesy - AS IS'!G83*G347</f>
        <v>-1.2</v>
      </c>
      <c r="H334" s="721" t="s">
        <v>568</v>
      </c>
      <c r="I334" s="721" t="s">
        <v>568</v>
      </c>
      <c r="J334" s="721" t="s">
        <v>568</v>
      </c>
      <c r="K334" s="721" t="s">
        <v>568</v>
      </c>
      <c r="L334" s="721">
        <f>-'Procesy - AS IS'!L83*L347</f>
        <v>0</v>
      </c>
      <c r="M334" s="721">
        <f>-'Procesy - AS IS'!M83*M347</f>
        <v>0</v>
      </c>
      <c r="N334" s="721">
        <f>-'Procesy - AS IS'!N83*N347</f>
        <v>0</v>
      </c>
      <c r="O334" s="721" t="s">
        <v>572</v>
      </c>
      <c r="P334" s="721">
        <f>-'Procesy - AS IS'!P83*P347</f>
        <v>-1.35</v>
      </c>
      <c r="Q334" s="721">
        <f>-'Procesy - AS IS'!Q83*Q347</f>
        <v>0</v>
      </c>
      <c r="R334" s="721">
        <f>-'Procesy - AS IS'!R83*R347</f>
        <v>-12.707692307692307</v>
      </c>
      <c r="S334" s="721">
        <f>-'Procesy - AS IS'!S83*S347</f>
        <v>-5.5384615384615392</v>
      </c>
      <c r="T334" s="721">
        <f>-'Procesy - AS IS'!T83*T347</f>
        <v>-2.7230769230769232</v>
      </c>
      <c r="U334" s="721">
        <f>-'Procesy - AS IS'!U83*U347</f>
        <v>-1.0384615384615385</v>
      </c>
      <c r="V334" s="721">
        <f>-'Procesy - AS IS'!V83*V347</f>
        <v>-0.5</v>
      </c>
      <c r="W334" s="721">
        <f>-'Procesy - AS IS'!W83*W347</f>
        <v>-0.11538461538461539</v>
      </c>
      <c r="X334" s="721">
        <f>-'Procesy - AS IS'!X83*X347</f>
        <v>0</v>
      </c>
      <c r="Y334" s="721">
        <f>-'Procesy - AS IS'!Y83*Y347</f>
        <v>-3.692307692307693</v>
      </c>
      <c r="Z334" s="721">
        <f>-'Procesy - AS IS'!Z83*Z347</f>
        <v>-9.6153846153846159E-3</v>
      </c>
      <c r="AA334" s="721">
        <f>-'Procesy - AS IS'!AA83*AA347</f>
        <v>-2.403846153846154E-2</v>
      </c>
      <c r="AB334" s="721">
        <f>-'Procesy - AS IS'!AB83*AB347</f>
        <v>0</v>
      </c>
      <c r="AC334" s="721">
        <f>-'Procesy - AS IS'!AC83*AC347</f>
        <v>0</v>
      </c>
      <c r="AD334" s="824">
        <f>SUM(D334:AC334)</f>
        <v>-28.899038461538463</v>
      </c>
      <c r="AE334" s="798">
        <f>AD334/'Procesy - AS IS'!AD83</f>
        <v>-0.39279879762138153</v>
      </c>
      <c r="AF334" s="869">
        <f>('Procesy - AS IS'!AG80/(1+$AE334)-'Procesy - AS IS'!AG80)/2</f>
        <v>33.638829100301351</v>
      </c>
      <c r="AG334" s="1018">
        <f>('Procesy - AS IS'!AH80/(1+$AE334)-'Procesy - AS IS'!AH80)/2</f>
        <v>19.083566508824809</v>
      </c>
      <c r="AH334" s="800">
        <f>('Procesy - AS IS'!AI80/(1+$AE334)-'Procesy - AS IS'!AI80)/2</f>
        <v>12.938011192423602</v>
      </c>
      <c r="AI334" s="801">
        <f>('Procesy - AS IS'!AJ80/(1+$AE334)-'Procesy - AS IS'!AJ80)/2</f>
        <v>1.6172513990529502</v>
      </c>
      <c r="AK334" s="232"/>
      <c r="AY334" s="227"/>
    </row>
    <row r="335" spans="1:51" hidden="1" outlineLevel="1" x14ac:dyDescent="0.3">
      <c r="A335" s="159"/>
      <c r="B335" s="1190" t="s">
        <v>540</v>
      </c>
      <c r="C335" s="735" t="str">
        <f>'Optimalizačné opatrenia'!$B$2</f>
        <v>Modernizácia</v>
      </c>
      <c r="D335" s="741" t="s">
        <v>542</v>
      </c>
      <c r="E335" s="742" t="s">
        <v>542</v>
      </c>
      <c r="F335" s="773" t="s">
        <v>542</v>
      </c>
      <c r="G335" s="773" t="str">
        <f t="shared" ref="G335:G347" si="449">G293</f>
        <v>A</v>
      </c>
      <c r="H335" s="773"/>
      <c r="I335" s="773"/>
      <c r="J335" s="773"/>
      <c r="K335" s="773"/>
      <c r="L335" s="773" t="s">
        <v>542</v>
      </c>
      <c r="M335" s="773" t="s">
        <v>542</v>
      </c>
      <c r="N335" s="773" t="s">
        <v>542</v>
      </c>
      <c r="O335" s="773"/>
      <c r="P335" s="773" t="str">
        <f t="shared" ref="P335:R347" si="450">P293</f>
        <v>A</v>
      </c>
      <c r="Q335" s="773" t="str">
        <f t="shared" si="450"/>
        <v>A</v>
      </c>
      <c r="R335" s="773" t="str">
        <f t="shared" si="450"/>
        <v>A</v>
      </c>
      <c r="S335" s="773" t="str">
        <f t="shared" ref="S335:S347" si="451">R335</f>
        <v>A</v>
      </c>
      <c r="T335" s="773" t="str">
        <f t="shared" ref="T335:T347" si="452">R335</f>
        <v>A</v>
      </c>
      <c r="U335" s="773" t="str">
        <f t="shared" ref="U335:U347" si="453">G335</f>
        <v>A</v>
      </c>
      <c r="V335" s="773" t="str">
        <f t="shared" ref="V335:V347" si="454">V293</f>
        <v>A</v>
      </c>
      <c r="W335" s="773" t="str">
        <f t="shared" ref="W335:W347" si="455">W7</f>
        <v>A</v>
      </c>
      <c r="X335" s="773" t="str">
        <f t="shared" ref="X335:X347" si="456">G335</f>
        <v>A</v>
      </c>
      <c r="Y335" s="773" t="str">
        <f t="shared" ref="Y335:Y347" si="457">R335</f>
        <v>A</v>
      </c>
      <c r="Z335" s="773" t="str">
        <f t="shared" ref="Z335:Z347" si="458">R335</f>
        <v>A</v>
      </c>
      <c r="AA335" s="773" t="str">
        <f t="shared" ref="AA335:AA347" si="459">$V335</f>
        <v>A</v>
      </c>
      <c r="AB335" s="773" t="str">
        <f t="shared" ref="AB335:AB347" si="460">G335</f>
        <v>A</v>
      </c>
      <c r="AC335" s="773" t="str">
        <f t="shared" ref="AC335:AC347" si="461">R335</f>
        <v>A</v>
      </c>
      <c r="AD335" s="876"/>
      <c r="AE335" s="863"/>
      <c r="AF335" s="870"/>
      <c r="AG335" s="1019"/>
      <c r="AH335" s="802"/>
      <c r="AI335" s="803"/>
    </row>
    <row r="336" spans="1:51" hidden="1" outlineLevel="1" x14ac:dyDescent="0.3">
      <c r="A336" s="159"/>
      <c r="B336" s="1191"/>
      <c r="C336" s="735" t="str">
        <f>'Optimalizačné opatrenia'!$B$3</f>
        <v>Sfunkčnenie</v>
      </c>
      <c r="D336" s="788" t="s">
        <v>542</v>
      </c>
      <c r="E336" s="773" t="s">
        <v>542</v>
      </c>
      <c r="F336" s="773" t="s">
        <v>542</v>
      </c>
      <c r="G336" s="773" t="str">
        <f t="shared" si="449"/>
        <v>N</v>
      </c>
      <c r="H336" s="773"/>
      <c r="I336" s="773"/>
      <c r="J336" s="773"/>
      <c r="K336" s="773"/>
      <c r="L336" s="773" t="s">
        <v>542</v>
      </c>
      <c r="M336" s="773" t="s">
        <v>542</v>
      </c>
      <c r="N336" s="773" t="s">
        <v>542</v>
      </c>
      <c r="O336" s="773"/>
      <c r="P336" s="773" t="str">
        <f t="shared" si="450"/>
        <v>N</v>
      </c>
      <c r="Q336" s="773" t="str">
        <f t="shared" si="450"/>
        <v>N</v>
      </c>
      <c r="R336" s="773" t="str">
        <f t="shared" si="450"/>
        <v>N</v>
      </c>
      <c r="S336" s="773" t="str">
        <f t="shared" si="451"/>
        <v>N</v>
      </c>
      <c r="T336" s="773" t="str">
        <f t="shared" si="452"/>
        <v>N</v>
      </c>
      <c r="U336" s="773" t="str">
        <f t="shared" si="453"/>
        <v>N</v>
      </c>
      <c r="V336" s="773" t="str">
        <f t="shared" si="454"/>
        <v>N</v>
      </c>
      <c r="W336" s="773" t="str">
        <f t="shared" si="455"/>
        <v>N</v>
      </c>
      <c r="X336" s="773" t="str">
        <f t="shared" si="456"/>
        <v>N</v>
      </c>
      <c r="Y336" s="773" t="str">
        <f t="shared" si="457"/>
        <v>N</v>
      </c>
      <c r="Z336" s="773" t="str">
        <f t="shared" si="458"/>
        <v>N</v>
      </c>
      <c r="AA336" s="773" t="str">
        <f t="shared" si="459"/>
        <v>N</v>
      </c>
      <c r="AB336" s="773" t="str">
        <f t="shared" si="460"/>
        <v>N</v>
      </c>
      <c r="AC336" s="773" t="str">
        <f t="shared" si="461"/>
        <v>N</v>
      </c>
      <c r="AD336" s="876"/>
      <c r="AE336" s="863"/>
      <c r="AF336" s="870"/>
      <c r="AG336" s="1019"/>
      <c r="AH336" s="802"/>
      <c r="AI336" s="803"/>
    </row>
    <row r="337" spans="1:51" hidden="1" outlineLevel="1" x14ac:dyDescent="0.3">
      <c r="A337" s="159"/>
      <c r="B337" s="1191"/>
      <c r="C337" s="735" t="str">
        <f>'Optimalizačné opatrenia'!$B$4</f>
        <v>Zjednotenie</v>
      </c>
      <c r="D337" s="788" t="s">
        <v>542</v>
      </c>
      <c r="E337" s="773" t="s">
        <v>542</v>
      </c>
      <c r="F337" s="773" t="s">
        <v>542</v>
      </c>
      <c r="G337" s="773" t="str">
        <f t="shared" si="449"/>
        <v>A</v>
      </c>
      <c r="H337" s="773"/>
      <c r="I337" s="773"/>
      <c r="J337" s="773"/>
      <c r="K337" s="773"/>
      <c r="L337" s="773" t="s">
        <v>542</v>
      </c>
      <c r="M337" s="773" t="s">
        <v>542</v>
      </c>
      <c r="N337" s="773" t="s">
        <v>542</v>
      </c>
      <c r="O337" s="773"/>
      <c r="P337" s="773" t="str">
        <f t="shared" si="450"/>
        <v>A</v>
      </c>
      <c r="Q337" s="773" t="str">
        <f t="shared" si="450"/>
        <v>A</v>
      </c>
      <c r="R337" s="773" t="str">
        <f t="shared" si="450"/>
        <v>A</v>
      </c>
      <c r="S337" s="773" t="str">
        <f t="shared" si="451"/>
        <v>A</v>
      </c>
      <c r="T337" s="773" t="str">
        <f t="shared" si="452"/>
        <v>A</v>
      </c>
      <c r="U337" s="773" t="str">
        <f t="shared" si="453"/>
        <v>A</v>
      </c>
      <c r="V337" s="773" t="str">
        <f t="shared" si="454"/>
        <v>A</v>
      </c>
      <c r="W337" s="773" t="str">
        <f t="shared" si="455"/>
        <v>A</v>
      </c>
      <c r="X337" s="773" t="str">
        <f t="shared" si="456"/>
        <v>A</v>
      </c>
      <c r="Y337" s="773" t="str">
        <f t="shared" si="457"/>
        <v>A</v>
      </c>
      <c r="Z337" s="773" t="str">
        <f t="shared" si="458"/>
        <v>A</v>
      </c>
      <c r="AA337" s="773" t="str">
        <f t="shared" si="459"/>
        <v>A</v>
      </c>
      <c r="AB337" s="773" t="str">
        <f t="shared" si="460"/>
        <v>A</v>
      </c>
      <c r="AC337" s="773" t="str">
        <f t="shared" si="461"/>
        <v>A</v>
      </c>
      <c r="AD337" s="876"/>
      <c r="AE337" s="863"/>
      <c r="AF337" s="870"/>
      <c r="AG337" s="1019"/>
      <c r="AH337" s="802"/>
      <c r="AI337" s="803"/>
    </row>
    <row r="338" spans="1:51" hidden="1" outlineLevel="1" x14ac:dyDescent="0.3">
      <c r="A338" s="159"/>
      <c r="B338" s="1191"/>
      <c r="C338" s="735" t="str">
        <f>'Optimalizačné opatrenia'!$B$5</f>
        <v>Centralizácia</v>
      </c>
      <c r="D338" s="788" t="s">
        <v>542</v>
      </c>
      <c r="E338" s="773" t="s">
        <v>542</v>
      </c>
      <c r="F338" s="773" t="s">
        <v>542</v>
      </c>
      <c r="G338" s="773" t="str">
        <f t="shared" si="449"/>
        <v>A</v>
      </c>
      <c r="H338" s="773"/>
      <c r="I338" s="773"/>
      <c r="J338" s="773"/>
      <c r="K338" s="773"/>
      <c r="L338" s="773" t="s">
        <v>542</v>
      </c>
      <c r="M338" s="773" t="s">
        <v>542</v>
      </c>
      <c r="N338" s="773" t="s">
        <v>542</v>
      </c>
      <c r="O338" s="773"/>
      <c r="P338" s="773" t="str">
        <f t="shared" si="450"/>
        <v>A</v>
      </c>
      <c r="Q338" s="773" t="str">
        <f t="shared" si="450"/>
        <v>A</v>
      </c>
      <c r="R338" s="773" t="str">
        <f t="shared" si="450"/>
        <v>A</v>
      </c>
      <c r="S338" s="773" t="str">
        <f t="shared" si="451"/>
        <v>A</v>
      </c>
      <c r="T338" s="773" t="str">
        <f t="shared" si="452"/>
        <v>A</v>
      </c>
      <c r="U338" s="773" t="str">
        <f t="shared" si="453"/>
        <v>A</v>
      </c>
      <c r="V338" s="773" t="str">
        <f t="shared" si="454"/>
        <v>A</v>
      </c>
      <c r="W338" s="773" t="str">
        <f t="shared" si="455"/>
        <v>A</v>
      </c>
      <c r="X338" s="773" t="str">
        <f t="shared" si="456"/>
        <v>A</v>
      </c>
      <c r="Y338" s="773" t="str">
        <f t="shared" si="457"/>
        <v>A</v>
      </c>
      <c r="Z338" s="773" t="str">
        <f t="shared" si="458"/>
        <v>A</v>
      </c>
      <c r="AA338" s="773" t="str">
        <f t="shared" si="459"/>
        <v>A</v>
      </c>
      <c r="AB338" s="773" t="str">
        <f t="shared" si="460"/>
        <v>A</v>
      </c>
      <c r="AC338" s="773" t="str">
        <f t="shared" si="461"/>
        <v>A</v>
      </c>
      <c r="AD338" s="876"/>
      <c r="AE338" s="863"/>
      <c r="AF338" s="870"/>
      <c r="AG338" s="1019"/>
      <c r="AH338" s="802"/>
      <c r="AI338" s="803"/>
    </row>
    <row r="339" spans="1:51" hidden="1" outlineLevel="1" x14ac:dyDescent="0.3">
      <c r="A339" s="159"/>
      <c r="B339" s="1191"/>
      <c r="C339" s="735" t="str">
        <f>'Optimalizačné opatrenia'!$B$6</f>
        <v>Elektronizácia</v>
      </c>
      <c r="D339" s="788" t="s">
        <v>542</v>
      </c>
      <c r="E339" s="773" t="s">
        <v>542</v>
      </c>
      <c r="F339" s="773" t="s">
        <v>542</v>
      </c>
      <c r="G339" s="773" t="str">
        <f t="shared" si="449"/>
        <v>A</v>
      </c>
      <c r="H339" s="773"/>
      <c r="I339" s="773"/>
      <c r="J339" s="773"/>
      <c r="K339" s="773"/>
      <c r="L339" s="773" t="s">
        <v>542</v>
      </c>
      <c r="M339" s="773" t="s">
        <v>542</v>
      </c>
      <c r="N339" s="773" t="s">
        <v>542</v>
      </c>
      <c r="O339" s="773"/>
      <c r="P339" s="773" t="str">
        <f t="shared" si="450"/>
        <v>A</v>
      </c>
      <c r="Q339" s="773" t="str">
        <f t="shared" si="450"/>
        <v>A</v>
      </c>
      <c r="R339" s="773" t="str">
        <f t="shared" si="450"/>
        <v>A</v>
      </c>
      <c r="S339" s="773" t="str">
        <f t="shared" si="451"/>
        <v>A</v>
      </c>
      <c r="T339" s="773" t="str">
        <f t="shared" si="452"/>
        <v>A</v>
      </c>
      <c r="U339" s="773" t="str">
        <f t="shared" si="453"/>
        <v>A</v>
      </c>
      <c r="V339" s="773" t="str">
        <f t="shared" si="454"/>
        <v>A</v>
      </c>
      <c r="W339" s="773" t="str">
        <f t="shared" si="455"/>
        <v>A</v>
      </c>
      <c r="X339" s="773" t="str">
        <f t="shared" si="456"/>
        <v>A</v>
      </c>
      <c r="Y339" s="773" t="str">
        <f t="shared" si="457"/>
        <v>A</v>
      </c>
      <c r="Z339" s="773" t="str">
        <f t="shared" si="458"/>
        <v>A</v>
      </c>
      <c r="AA339" s="773" t="str">
        <f t="shared" si="459"/>
        <v>A</v>
      </c>
      <c r="AB339" s="773" t="str">
        <f t="shared" si="460"/>
        <v>A</v>
      </c>
      <c r="AC339" s="773" t="str">
        <f t="shared" si="461"/>
        <v>A</v>
      </c>
      <c r="AD339" s="876"/>
      <c r="AE339" s="863"/>
      <c r="AF339" s="870"/>
      <c r="AG339" s="1019"/>
      <c r="AH339" s="802"/>
      <c r="AI339" s="803"/>
    </row>
    <row r="340" spans="1:51" hidden="1" outlineLevel="1" x14ac:dyDescent="0.3">
      <c r="A340" s="159"/>
      <c r="B340" s="1191"/>
      <c r="C340" s="735" t="str">
        <f>'Optimalizačné opatrenia'!$B$7</f>
        <v>Automatizácia</v>
      </c>
      <c r="D340" s="788" t="s">
        <v>542</v>
      </c>
      <c r="E340" s="773" t="s">
        <v>542</v>
      </c>
      <c r="F340" s="773" t="s">
        <v>542</v>
      </c>
      <c r="G340" s="773" t="str">
        <f t="shared" si="449"/>
        <v>A</v>
      </c>
      <c r="H340" s="773"/>
      <c r="I340" s="773"/>
      <c r="J340" s="773"/>
      <c r="K340" s="773"/>
      <c r="L340" s="773" t="s">
        <v>542</v>
      </c>
      <c r="M340" s="773" t="s">
        <v>542</v>
      </c>
      <c r="N340" s="773" t="s">
        <v>542</v>
      </c>
      <c r="O340" s="773"/>
      <c r="P340" s="773" t="str">
        <f t="shared" si="450"/>
        <v>A</v>
      </c>
      <c r="Q340" s="773" t="str">
        <f t="shared" si="450"/>
        <v>A</v>
      </c>
      <c r="R340" s="773" t="str">
        <f t="shared" si="450"/>
        <v>A</v>
      </c>
      <c r="S340" s="773" t="str">
        <f t="shared" si="451"/>
        <v>A</v>
      </c>
      <c r="T340" s="773" t="str">
        <f t="shared" si="452"/>
        <v>A</v>
      </c>
      <c r="U340" s="773" t="str">
        <f t="shared" si="453"/>
        <v>A</v>
      </c>
      <c r="V340" s="773" t="str">
        <f t="shared" si="454"/>
        <v>A</v>
      </c>
      <c r="W340" s="773" t="str">
        <f t="shared" si="455"/>
        <v>A</v>
      </c>
      <c r="X340" s="773" t="str">
        <f t="shared" si="456"/>
        <v>A</v>
      </c>
      <c r="Y340" s="773" t="str">
        <f t="shared" si="457"/>
        <v>A</v>
      </c>
      <c r="Z340" s="773" t="str">
        <f t="shared" si="458"/>
        <v>A</v>
      </c>
      <c r="AA340" s="773" t="str">
        <f t="shared" si="459"/>
        <v>A</v>
      </c>
      <c r="AB340" s="773" t="str">
        <f t="shared" si="460"/>
        <v>A</v>
      </c>
      <c r="AC340" s="773" t="str">
        <f t="shared" si="461"/>
        <v>A</v>
      </c>
      <c r="AD340" s="876"/>
      <c r="AE340" s="863"/>
      <c r="AF340" s="870"/>
      <c r="AG340" s="1019"/>
      <c r="AH340" s="802"/>
      <c r="AI340" s="803"/>
    </row>
    <row r="341" spans="1:51" hidden="1" outlineLevel="1" x14ac:dyDescent="0.3">
      <c r="A341" s="159"/>
      <c r="B341" s="1191"/>
      <c r="C341" s="735" t="str">
        <f>'Optimalizačné opatrenia'!$B$8</f>
        <v>Bezpečnosť</v>
      </c>
      <c r="D341" s="788" t="s">
        <v>542</v>
      </c>
      <c r="E341" s="773" t="s">
        <v>542</v>
      </c>
      <c r="F341" s="773" t="s">
        <v>542</v>
      </c>
      <c r="G341" s="773" t="str">
        <f t="shared" si="449"/>
        <v>A</v>
      </c>
      <c r="H341" s="773"/>
      <c r="I341" s="773"/>
      <c r="J341" s="773"/>
      <c r="K341" s="773"/>
      <c r="L341" s="773" t="s">
        <v>542</v>
      </c>
      <c r="M341" s="773" t="s">
        <v>542</v>
      </c>
      <c r="N341" s="773" t="s">
        <v>542</v>
      </c>
      <c r="O341" s="773"/>
      <c r="P341" s="773" t="str">
        <f t="shared" si="450"/>
        <v>A</v>
      </c>
      <c r="Q341" s="773" t="str">
        <f t="shared" si="450"/>
        <v>A</v>
      </c>
      <c r="R341" s="773" t="str">
        <f t="shared" si="450"/>
        <v>A</v>
      </c>
      <c r="S341" s="773" t="str">
        <f t="shared" si="451"/>
        <v>A</v>
      </c>
      <c r="T341" s="773" t="str">
        <f t="shared" si="452"/>
        <v>A</v>
      </c>
      <c r="U341" s="773" t="str">
        <f t="shared" si="453"/>
        <v>A</v>
      </c>
      <c r="V341" s="773" t="str">
        <f t="shared" si="454"/>
        <v>A</v>
      </c>
      <c r="W341" s="773" t="str">
        <f t="shared" si="455"/>
        <v>A</v>
      </c>
      <c r="X341" s="773" t="str">
        <f t="shared" si="456"/>
        <v>A</v>
      </c>
      <c r="Y341" s="773" t="str">
        <f t="shared" si="457"/>
        <v>A</v>
      </c>
      <c r="Z341" s="773" t="str">
        <f t="shared" si="458"/>
        <v>A</v>
      </c>
      <c r="AA341" s="773" t="str">
        <f t="shared" si="459"/>
        <v>A</v>
      </c>
      <c r="AB341" s="773" t="str">
        <f t="shared" si="460"/>
        <v>A</v>
      </c>
      <c r="AC341" s="773" t="str">
        <f t="shared" si="461"/>
        <v>A</v>
      </c>
      <c r="AD341" s="876"/>
      <c r="AE341" s="863"/>
      <c r="AF341" s="870"/>
      <c r="AG341" s="1019"/>
      <c r="AH341" s="802"/>
      <c r="AI341" s="803"/>
    </row>
    <row r="342" spans="1:51" hidden="1" outlineLevel="1" x14ac:dyDescent="0.3">
      <c r="A342" s="159"/>
      <c r="B342" s="1191"/>
      <c r="C342" s="735" t="str">
        <f>'Optimalizačné opatrenia'!$B$9</f>
        <v>Auditovateľnosť</v>
      </c>
      <c r="D342" s="788" t="s">
        <v>542</v>
      </c>
      <c r="E342" s="773" t="s">
        <v>542</v>
      </c>
      <c r="F342" s="773" t="s">
        <v>542</v>
      </c>
      <c r="G342" s="773" t="str">
        <f t="shared" si="449"/>
        <v>A</v>
      </c>
      <c r="H342" s="773"/>
      <c r="I342" s="773"/>
      <c r="J342" s="773"/>
      <c r="K342" s="773"/>
      <c r="L342" s="773" t="s">
        <v>542</v>
      </c>
      <c r="M342" s="773" t="s">
        <v>542</v>
      </c>
      <c r="N342" s="773" t="s">
        <v>542</v>
      </c>
      <c r="O342" s="773"/>
      <c r="P342" s="773" t="str">
        <f t="shared" si="450"/>
        <v>A</v>
      </c>
      <c r="Q342" s="773" t="str">
        <f t="shared" si="450"/>
        <v>A</v>
      </c>
      <c r="R342" s="773" t="str">
        <f t="shared" si="450"/>
        <v>A</v>
      </c>
      <c r="S342" s="773" t="str">
        <f t="shared" si="451"/>
        <v>A</v>
      </c>
      <c r="T342" s="773" t="str">
        <f t="shared" si="452"/>
        <v>A</v>
      </c>
      <c r="U342" s="773" t="str">
        <f t="shared" si="453"/>
        <v>A</v>
      </c>
      <c r="V342" s="773" t="str">
        <f t="shared" si="454"/>
        <v>A</v>
      </c>
      <c r="W342" s="773" t="str">
        <f t="shared" si="455"/>
        <v>A</v>
      </c>
      <c r="X342" s="773" t="str">
        <f t="shared" si="456"/>
        <v>A</v>
      </c>
      <c r="Y342" s="773" t="str">
        <f t="shared" si="457"/>
        <v>A</v>
      </c>
      <c r="Z342" s="773" t="str">
        <f t="shared" si="458"/>
        <v>A</v>
      </c>
      <c r="AA342" s="773" t="str">
        <f t="shared" si="459"/>
        <v>A</v>
      </c>
      <c r="AB342" s="773" t="str">
        <f t="shared" si="460"/>
        <v>A</v>
      </c>
      <c r="AC342" s="773" t="str">
        <f t="shared" si="461"/>
        <v>A</v>
      </c>
      <c r="AD342" s="876"/>
      <c r="AE342" s="863"/>
      <c r="AF342" s="870"/>
      <c r="AG342" s="1019"/>
      <c r="AH342" s="802"/>
      <c r="AI342" s="803"/>
    </row>
    <row r="343" spans="1:51" hidden="1" outlineLevel="1" x14ac:dyDescent="0.3">
      <c r="A343" s="159"/>
      <c r="B343" s="1191"/>
      <c r="C343" s="735" t="str">
        <f>'Optimalizačné opatrenia'!$B$10</f>
        <v>Transparentnosť</v>
      </c>
      <c r="D343" s="788" t="s">
        <v>542</v>
      </c>
      <c r="E343" s="773" t="s">
        <v>542</v>
      </c>
      <c r="F343" s="773" t="s">
        <v>542</v>
      </c>
      <c r="G343" s="773" t="str">
        <f t="shared" si="449"/>
        <v>N</v>
      </c>
      <c r="H343" s="773"/>
      <c r="I343" s="773"/>
      <c r="J343" s="773"/>
      <c r="K343" s="773"/>
      <c r="L343" s="773" t="s">
        <v>542</v>
      </c>
      <c r="M343" s="773" t="s">
        <v>542</v>
      </c>
      <c r="N343" s="773" t="s">
        <v>542</v>
      </c>
      <c r="O343" s="773"/>
      <c r="P343" s="773" t="str">
        <f t="shared" si="450"/>
        <v>A</v>
      </c>
      <c r="Q343" s="773" t="str">
        <f t="shared" si="450"/>
        <v>N</v>
      </c>
      <c r="R343" s="773" t="str">
        <f t="shared" si="450"/>
        <v>N</v>
      </c>
      <c r="S343" s="773" t="str">
        <f t="shared" si="451"/>
        <v>N</v>
      </c>
      <c r="T343" s="773" t="str">
        <f t="shared" si="452"/>
        <v>N</v>
      </c>
      <c r="U343" s="773" t="str">
        <f t="shared" si="453"/>
        <v>N</v>
      </c>
      <c r="V343" s="773" t="str">
        <f t="shared" si="454"/>
        <v>A</v>
      </c>
      <c r="W343" s="773" t="str">
        <f t="shared" si="455"/>
        <v>N</v>
      </c>
      <c r="X343" s="773" t="str">
        <f t="shared" si="456"/>
        <v>N</v>
      </c>
      <c r="Y343" s="773" t="str">
        <f t="shared" si="457"/>
        <v>N</v>
      </c>
      <c r="Z343" s="773" t="str">
        <f t="shared" si="458"/>
        <v>N</v>
      </c>
      <c r="AA343" s="773" t="str">
        <f t="shared" si="459"/>
        <v>A</v>
      </c>
      <c r="AB343" s="773" t="str">
        <f t="shared" si="460"/>
        <v>N</v>
      </c>
      <c r="AC343" s="773" t="str">
        <f t="shared" si="461"/>
        <v>N</v>
      </c>
      <c r="AD343" s="876"/>
      <c r="AE343" s="863"/>
      <c r="AF343" s="870"/>
      <c r="AG343" s="1019"/>
      <c r="AH343" s="802"/>
      <c r="AI343" s="803"/>
    </row>
    <row r="344" spans="1:51" hidden="1" outlineLevel="1" x14ac:dyDescent="0.3">
      <c r="A344" s="159"/>
      <c r="B344" s="1191"/>
      <c r="C344" s="735" t="str">
        <f>'Optimalizačné opatrenia'!$B$11</f>
        <v>Analyzovatelnosť</v>
      </c>
      <c r="D344" s="788" t="s">
        <v>542</v>
      </c>
      <c r="E344" s="773" t="s">
        <v>542</v>
      </c>
      <c r="F344" s="773" t="s">
        <v>542</v>
      </c>
      <c r="G344" s="773" t="str">
        <f t="shared" si="449"/>
        <v>A</v>
      </c>
      <c r="H344" s="773"/>
      <c r="I344" s="773"/>
      <c r="J344" s="773"/>
      <c r="K344" s="773"/>
      <c r="L344" s="773" t="s">
        <v>542</v>
      </c>
      <c r="M344" s="773" t="s">
        <v>542</v>
      </c>
      <c r="N344" s="773" t="s">
        <v>542</v>
      </c>
      <c r="O344" s="773"/>
      <c r="P344" s="773" t="str">
        <f t="shared" si="450"/>
        <v>A</v>
      </c>
      <c r="Q344" s="773" t="str">
        <f t="shared" si="450"/>
        <v>A</v>
      </c>
      <c r="R344" s="773" t="str">
        <f t="shared" si="450"/>
        <v>A</v>
      </c>
      <c r="S344" s="773" t="str">
        <f t="shared" si="451"/>
        <v>A</v>
      </c>
      <c r="T344" s="773" t="str">
        <f t="shared" si="452"/>
        <v>A</v>
      </c>
      <c r="U344" s="773" t="str">
        <f t="shared" si="453"/>
        <v>A</v>
      </c>
      <c r="V344" s="773" t="str">
        <f t="shared" si="454"/>
        <v>A</v>
      </c>
      <c r="W344" s="773" t="str">
        <f t="shared" si="455"/>
        <v>A</v>
      </c>
      <c r="X344" s="773" t="str">
        <f t="shared" si="456"/>
        <v>A</v>
      </c>
      <c r="Y344" s="773" t="str">
        <f t="shared" si="457"/>
        <v>A</v>
      </c>
      <c r="Z344" s="773" t="str">
        <f t="shared" si="458"/>
        <v>A</v>
      </c>
      <c r="AA344" s="773" t="str">
        <f t="shared" si="459"/>
        <v>A</v>
      </c>
      <c r="AB344" s="773" t="str">
        <f t="shared" si="460"/>
        <v>A</v>
      </c>
      <c r="AC344" s="773" t="str">
        <f t="shared" si="461"/>
        <v>A</v>
      </c>
      <c r="AD344" s="876"/>
      <c r="AE344" s="863"/>
      <c r="AF344" s="870"/>
      <c r="AG344" s="1019"/>
      <c r="AH344" s="802"/>
      <c r="AI344" s="803"/>
    </row>
    <row r="345" spans="1:51" hidden="1" outlineLevel="1" x14ac:dyDescent="0.3">
      <c r="A345" s="159"/>
      <c r="B345" s="1191"/>
      <c r="C345" s="735" t="str">
        <f>'Optimalizačné opatrenia'!$B$12</f>
        <v>Integrácia</v>
      </c>
      <c r="D345" s="788" t="s">
        <v>542</v>
      </c>
      <c r="E345" s="773" t="s">
        <v>542</v>
      </c>
      <c r="F345" s="773" t="s">
        <v>542</v>
      </c>
      <c r="G345" s="773" t="str">
        <f t="shared" si="449"/>
        <v>A</v>
      </c>
      <c r="H345" s="773"/>
      <c r="I345" s="773"/>
      <c r="J345" s="773"/>
      <c r="K345" s="773"/>
      <c r="L345" s="773" t="s">
        <v>542</v>
      </c>
      <c r="M345" s="773" t="s">
        <v>542</v>
      </c>
      <c r="N345" s="773" t="s">
        <v>542</v>
      </c>
      <c r="O345" s="773"/>
      <c r="P345" s="773" t="str">
        <f t="shared" si="450"/>
        <v>A</v>
      </c>
      <c r="Q345" s="773" t="str">
        <f t="shared" si="450"/>
        <v>A</v>
      </c>
      <c r="R345" s="773" t="str">
        <f t="shared" si="450"/>
        <v>A</v>
      </c>
      <c r="S345" s="773" t="str">
        <f t="shared" si="451"/>
        <v>A</v>
      </c>
      <c r="T345" s="773" t="str">
        <f t="shared" si="452"/>
        <v>A</v>
      </c>
      <c r="U345" s="773" t="str">
        <f t="shared" si="453"/>
        <v>A</v>
      </c>
      <c r="V345" s="773" t="str">
        <f t="shared" si="454"/>
        <v>A</v>
      </c>
      <c r="W345" s="773" t="str">
        <f t="shared" si="455"/>
        <v>A</v>
      </c>
      <c r="X345" s="773" t="str">
        <f t="shared" si="456"/>
        <v>A</v>
      </c>
      <c r="Y345" s="773" t="str">
        <f t="shared" si="457"/>
        <v>A</v>
      </c>
      <c r="Z345" s="773" t="str">
        <f t="shared" si="458"/>
        <v>A</v>
      </c>
      <c r="AA345" s="773" t="str">
        <f t="shared" si="459"/>
        <v>A</v>
      </c>
      <c r="AB345" s="773" t="str">
        <f t="shared" si="460"/>
        <v>A</v>
      </c>
      <c r="AC345" s="773" t="str">
        <f t="shared" si="461"/>
        <v>A</v>
      </c>
      <c r="AD345" s="876"/>
      <c r="AE345" s="863"/>
      <c r="AF345" s="870"/>
      <c r="AG345" s="1019"/>
      <c r="AH345" s="802"/>
      <c r="AI345" s="803"/>
    </row>
    <row r="346" spans="1:51" hidden="1" outlineLevel="1" x14ac:dyDescent="0.3">
      <c r="A346" s="159"/>
      <c r="B346" s="1191"/>
      <c r="C346" s="740" t="str">
        <f>'Optimalizačné opatrenia'!$B$13</f>
        <v>Proaktivita</v>
      </c>
      <c r="D346" s="788" t="s">
        <v>542</v>
      </c>
      <c r="E346" s="773" t="s">
        <v>542</v>
      </c>
      <c r="F346" s="773" t="s">
        <v>542</v>
      </c>
      <c r="G346" s="773" t="str">
        <f t="shared" si="449"/>
        <v>N</v>
      </c>
      <c r="H346" s="773"/>
      <c r="I346" s="773"/>
      <c r="J346" s="773"/>
      <c r="K346" s="773"/>
      <c r="L346" s="773" t="s">
        <v>542</v>
      </c>
      <c r="M346" s="773" t="s">
        <v>542</v>
      </c>
      <c r="N346" s="773" t="s">
        <v>542</v>
      </c>
      <c r="O346" s="773"/>
      <c r="P346" s="773" t="str">
        <f t="shared" si="450"/>
        <v>N</v>
      </c>
      <c r="Q346" s="773" t="str">
        <f t="shared" si="450"/>
        <v>N</v>
      </c>
      <c r="R346" s="773" t="str">
        <f t="shared" si="450"/>
        <v>A</v>
      </c>
      <c r="S346" s="773" t="str">
        <f t="shared" si="451"/>
        <v>A</v>
      </c>
      <c r="T346" s="773" t="str">
        <f t="shared" si="452"/>
        <v>A</v>
      </c>
      <c r="U346" s="773" t="str">
        <f t="shared" si="453"/>
        <v>N</v>
      </c>
      <c r="V346" s="773" t="str">
        <f t="shared" si="454"/>
        <v>A</v>
      </c>
      <c r="W346" s="773" t="str">
        <f t="shared" si="455"/>
        <v>N</v>
      </c>
      <c r="X346" s="773" t="str">
        <f t="shared" si="456"/>
        <v>N</v>
      </c>
      <c r="Y346" s="773" t="str">
        <f t="shared" si="457"/>
        <v>A</v>
      </c>
      <c r="Z346" s="773" t="str">
        <f t="shared" si="458"/>
        <v>A</v>
      </c>
      <c r="AA346" s="773" t="str">
        <f t="shared" si="459"/>
        <v>A</v>
      </c>
      <c r="AB346" s="773" t="str">
        <f t="shared" si="460"/>
        <v>N</v>
      </c>
      <c r="AC346" s="773" t="str">
        <f t="shared" si="461"/>
        <v>A</v>
      </c>
      <c r="AD346" s="876"/>
      <c r="AE346" s="863"/>
      <c r="AF346" s="870"/>
      <c r="AG346" s="1019"/>
      <c r="AH346" s="802"/>
      <c r="AI346" s="803"/>
    </row>
    <row r="347" spans="1:51" hidden="1" outlineLevel="1" x14ac:dyDescent="0.3">
      <c r="A347" s="159"/>
      <c r="B347" s="790"/>
      <c r="C347" s="792" t="s">
        <v>550</v>
      </c>
      <c r="D347" s="793">
        <v>0</v>
      </c>
      <c r="E347" s="791">
        <v>0</v>
      </c>
      <c r="F347" s="794">
        <v>0</v>
      </c>
      <c r="G347" s="794">
        <f t="shared" si="449"/>
        <v>0.3</v>
      </c>
      <c r="H347" s="794"/>
      <c r="I347" s="794"/>
      <c r="J347" s="794"/>
      <c r="K347" s="794"/>
      <c r="L347" s="794">
        <v>0</v>
      </c>
      <c r="M347" s="794">
        <v>0</v>
      </c>
      <c r="N347" s="794">
        <v>0</v>
      </c>
      <c r="O347" s="794"/>
      <c r="P347" s="794">
        <f t="shared" si="450"/>
        <v>0.45</v>
      </c>
      <c r="Q347" s="794">
        <f t="shared" si="450"/>
        <v>0.3</v>
      </c>
      <c r="R347" s="794">
        <f t="shared" si="450"/>
        <v>0.4</v>
      </c>
      <c r="S347" s="794">
        <f t="shared" si="451"/>
        <v>0.4</v>
      </c>
      <c r="T347" s="794">
        <f t="shared" si="452"/>
        <v>0.4</v>
      </c>
      <c r="U347" s="794">
        <f t="shared" si="453"/>
        <v>0.3</v>
      </c>
      <c r="V347" s="794">
        <f t="shared" si="454"/>
        <v>0.5</v>
      </c>
      <c r="W347" s="794">
        <f t="shared" si="455"/>
        <v>0.3</v>
      </c>
      <c r="X347" s="794">
        <f t="shared" si="456"/>
        <v>0.3</v>
      </c>
      <c r="Y347" s="794">
        <f t="shared" si="457"/>
        <v>0.4</v>
      </c>
      <c r="Z347" s="794">
        <f t="shared" si="458"/>
        <v>0.4</v>
      </c>
      <c r="AA347" s="794">
        <f t="shared" si="459"/>
        <v>0.5</v>
      </c>
      <c r="AB347" s="794">
        <f t="shared" si="460"/>
        <v>0.3</v>
      </c>
      <c r="AC347" s="794">
        <f t="shared" si="461"/>
        <v>0.4</v>
      </c>
      <c r="AD347" s="877"/>
      <c r="AE347" s="864"/>
      <c r="AF347" s="871"/>
      <c r="AG347" s="1020"/>
      <c r="AH347" s="805"/>
      <c r="AI347" s="806"/>
    </row>
    <row r="348" spans="1:51" ht="15" collapsed="1" thickBot="1" x14ac:dyDescent="0.35">
      <c r="A348" s="159"/>
      <c r="B348" s="811"/>
      <c r="C348" s="812" t="s">
        <v>601</v>
      </c>
      <c r="D348" s="813"/>
      <c r="E348" s="813"/>
      <c r="F348" s="813"/>
      <c r="G348" s="814"/>
      <c r="H348" s="814"/>
      <c r="I348" s="814"/>
      <c r="J348" s="814"/>
      <c r="K348" s="814"/>
      <c r="L348" s="814"/>
      <c r="M348" s="814"/>
      <c r="N348" s="814"/>
      <c r="O348" s="814"/>
      <c r="P348" s="814"/>
      <c r="Q348" s="814"/>
      <c r="R348" s="814"/>
      <c r="S348" s="814"/>
      <c r="T348" s="814"/>
      <c r="U348" s="814"/>
      <c r="V348" s="814"/>
      <c r="W348" s="814"/>
      <c r="X348" s="814"/>
      <c r="Y348" s="814"/>
      <c r="Z348" s="814"/>
      <c r="AA348" s="814"/>
      <c r="AB348" s="814"/>
      <c r="AC348" s="814"/>
      <c r="AD348" s="821"/>
      <c r="AE348" s="865"/>
      <c r="AF348" s="872">
        <f>'Procesy - AS IS'!AG84/(1+$AE291)-'Procesy - AS IS'!AG84</f>
        <v>0</v>
      </c>
      <c r="AG348" s="1021">
        <f>'Procesy - AS IS'!AH84/(1+$AE291)-'Procesy - AS IS'!AH84</f>
        <v>0</v>
      </c>
      <c r="AH348" s="816">
        <f>'Procesy - AS IS'!AI84/(1+$AE291)-'Procesy - AS IS'!AI84</f>
        <v>0</v>
      </c>
      <c r="AI348" s="817">
        <f>'Procesy - AS IS'!AJ84/(1+$AE291)-'Procesy - AS IS'!AJ84</f>
        <v>0</v>
      </c>
    </row>
    <row r="349" spans="1:51" x14ac:dyDescent="0.3">
      <c r="A349" s="159"/>
      <c r="B349" s="725" t="str">
        <f>'Procesy - AS IS'!B85</f>
        <v>Zdroj 5</v>
      </c>
      <c r="C349" s="726" t="str">
        <f>'Procesy - AS IS'!C85</f>
        <v>Inšpekcia biologickej bezpečnosti</v>
      </c>
      <c r="D349" s="796">
        <f t="shared" ref="D349:G349" si="462">D350*$AF350/($AF349-$AF420)+D364*$AF364/($AF349-$AF420)+D378*$AF378/($AF349-$AF420)+D392*$AF392/($AF349-$AF420)+D406*$AF406/($AF349-$AF420)</f>
        <v>0</v>
      </c>
      <c r="E349" s="719">
        <f t="shared" si="462"/>
        <v>-1.9161652542844831</v>
      </c>
      <c r="F349" s="719">
        <f t="shared" si="462"/>
        <v>-2.3062968135418478</v>
      </c>
      <c r="G349" s="729">
        <f t="shared" si="462"/>
        <v>-1.966608990758417</v>
      </c>
      <c r="H349" s="722"/>
      <c r="I349" s="722"/>
      <c r="J349" s="722"/>
      <c r="K349" s="722"/>
      <c r="L349" s="729">
        <f t="shared" ref="L349:M349" si="463">L350*$AF350/($AF349-$AF420)+L364*$AF364/($AF349-$AF420)+L378*$AF378/($AF349-$AF420)+L392*$AF392/($AF349-$AF420)+L406*$AF406/($AF349-$AF420)</f>
        <v>-1.540719014821659</v>
      </c>
      <c r="M349" s="729">
        <f t="shared" si="463"/>
        <v>0</v>
      </c>
      <c r="N349" s="719"/>
      <c r="O349" s="719"/>
      <c r="P349" s="719">
        <f t="shared" ref="P349:AB349" si="464">P350*$AF350/($AF349-$AF420)+P364*$AF364/($AF349-$AF420)+P378*$AF378/($AF349-$AF420)+P392*$AF392/($AF349-$AF420)+P406*$AF406/($AF349-$AF420)</f>
        <v>-2.1762318498297049</v>
      </c>
      <c r="Q349" s="719">
        <f t="shared" si="464"/>
        <v>0</v>
      </c>
      <c r="R349" s="719">
        <f t="shared" si="464"/>
        <v>-0.33666918484966019</v>
      </c>
      <c r="S349" s="719">
        <f t="shared" si="464"/>
        <v>-3.3456774521419588</v>
      </c>
      <c r="T349" s="719">
        <f t="shared" si="464"/>
        <v>-0.16833459242483009</v>
      </c>
      <c r="U349" s="719">
        <f t="shared" si="464"/>
        <v>-0.60579719158382939</v>
      </c>
      <c r="V349" s="719">
        <f t="shared" si="464"/>
        <v>-1.9060483521798153</v>
      </c>
      <c r="W349" s="719">
        <f t="shared" si="464"/>
        <v>0</v>
      </c>
      <c r="X349" s="719">
        <f t="shared" si="464"/>
        <v>0</v>
      </c>
      <c r="Y349" s="719">
        <f t="shared" si="464"/>
        <v>0</v>
      </c>
      <c r="Z349" s="719">
        <f t="shared" si="464"/>
        <v>0</v>
      </c>
      <c r="AA349" s="719">
        <f t="shared" si="464"/>
        <v>0</v>
      </c>
      <c r="AB349" s="719">
        <f t="shared" si="464"/>
        <v>0</v>
      </c>
      <c r="AC349" s="720">
        <f>AC350*$AF350/($AF349-$AF420)+AC364*$AF364/($AF349-$AF420)+AC378*$AF378/($AF349-$AF420)+AC392*$AF392/($AF349-$AF420)+AC406*$AF406/($AF349-$AF420)</f>
        <v>0</v>
      </c>
      <c r="AD349" s="822">
        <f>SUM(AD350:AD419)</f>
        <v>-89.268867623604464</v>
      </c>
      <c r="AE349" s="862">
        <f>-SUM(AF350:AF419)/('Procesy - AS IS'!AG85+SUM(AF350:AF419))</f>
        <v>-0.35010342752191226</v>
      </c>
      <c r="AF349" s="873">
        <f>SUM(AF350:AF420)</f>
        <v>94.273615850467337</v>
      </c>
      <c r="AG349" s="1022">
        <f>SUM(AG350:AG420)</f>
        <v>9.5322359518535951</v>
      </c>
      <c r="AH349" s="800">
        <f>SUM(AH350:AH420)</f>
        <v>0</v>
      </c>
      <c r="AI349" s="808">
        <f>SUM(AI350:AI420)</f>
        <v>0</v>
      </c>
      <c r="AK349" s="232"/>
      <c r="AL349"/>
      <c r="AY349" s="227"/>
    </row>
    <row r="350" spans="1:51" ht="31.2" customHeight="1" x14ac:dyDescent="0.3">
      <c r="A350" s="159">
        <f ca="1">OFFSET(A350,-16,0)+1</f>
        <v>25</v>
      </c>
      <c r="B350" s="736" t="str">
        <f ca="1">'Procesy - AS IS'!B86</f>
        <v>Meranie č. 25</v>
      </c>
      <c r="C350" s="739" t="str">
        <f>'Procesy - AS IS'!C86</f>
        <v>PF UK, Kontrola uzavretých priestorov, 3651/2018</v>
      </c>
      <c r="D350" s="796">
        <f>-'Procesy - AS IS'!D88*D363</f>
        <v>0</v>
      </c>
      <c r="E350" s="721">
        <f>-'Procesy - AS IS'!E88*E363</f>
        <v>-8</v>
      </c>
      <c r="F350" s="721">
        <f>-'Procesy - AS IS'!F88*F363</f>
        <v>-1</v>
      </c>
      <c r="G350" s="721">
        <f>-'Procesy - AS IS'!G88*G363</f>
        <v>-4.8</v>
      </c>
      <c r="H350" s="721" t="s">
        <v>568</v>
      </c>
      <c r="I350" s="721" t="s">
        <v>568</v>
      </c>
      <c r="J350" s="721" t="s">
        <v>568</v>
      </c>
      <c r="K350" s="721" t="s">
        <v>568</v>
      </c>
      <c r="L350" s="721">
        <f>-'Procesy - AS IS'!L88*L363</f>
        <v>-0.4</v>
      </c>
      <c r="M350" s="721">
        <f>-'Procesy - AS IS'!M88*M363</f>
        <v>0</v>
      </c>
      <c r="N350" s="721" t="s">
        <v>570</v>
      </c>
      <c r="O350" s="721" t="s">
        <v>572</v>
      </c>
      <c r="P350" s="721">
        <f>-'Procesy - AS IS'!P88*P363</f>
        <v>-3.6</v>
      </c>
      <c r="Q350" s="721">
        <f>-'Procesy - AS IS'!Q88*Q363</f>
        <v>0</v>
      </c>
      <c r="R350" s="721">
        <f>-'Procesy - AS IS'!R88*R363</f>
        <v>-0.5818181818181819</v>
      </c>
      <c r="S350" s="721">
        <f>-'Procesy - AS IS'!S88*S363</f>
        <v>-5.8181818181818183</v>
      </c>
      <c r="T350" s="721">
        <f>-'Procesy - AS IS'!T88*T363</f>
        <v>-0.29090909090909095</v>
      </c>
      <c r="U350" s="721">
        <f>-'Procesy - AS IS'!U88*U363</f>
        <v>-2.1818181818181817</v>
      </c>
      <c r="V350" s="721">
        <f>-'Procesy - AS IS'!V88*V363</f>
        <v>-0.25</v>
      </c>
      <c r="W350" s="721">
        <f>-'Procesy - AS IS'!W88*W363</f>
        <v>0</v>
      </c>
      <c r="X350" s="721">
        <f>-'Procesy - AS IS'!X88*X363</f>
        <v>0</v>
      </c>
      <c r="Y350" s="721">
        <f>-'Procesy - AS IS'!Y88*Y363</f>
        <v>0</v>
      </c>
      <c r="Z350" s="721">
        <f>-'Procesy - AS IS'!Z88*Z363</f>
        <v>0</v>
      </c>
      <c r="AA350" s="721">
        <f>-'Procesy - AS IS'!AA88*AA363</f>
        <v>0</v>
      </c>
      <c r="AB350" s="721">
        <f>-'Procesy - AS IS'!AB88*AB363</f>
        <v>0</v>
      </c>
      <c r="AC350" s="721">
        <f>-'Procesy - AS IS'!AC88*AC363</f>
        <v>0</v>
      </c>
      <c r="AD350" s="824">
        <f>SUM(D350:AC350)</f>
        <v>-26.922727272727272</v>
      </c>
      <c r="AE350" s="798">
        <f>AD350/'Procesy - AS IS'!AD88</f>
        <v>-0.29263833992094862</v>
      </c>
      <c r="AF350" s="869">
        <f>'Procesy - AS IS'!AG88/(1+$AE350)-'Procesy - AS IS'!AG88</f>
        <v>4.5507438709226804</v>
      </c>
      <c r="AG350" s="1018">
        <f>'Procesy - AS IS'!AH88/(1+$AE350)-'Procesy - AS IS'!AH88</f>
        <v>0.41370398826569832</v>
      </c>
      <c r="AH350" s="800">
        <f>'Procesy - AS IS'!AI88/(1+$AE350)-'Procesy - AS IS'!AI88</f>
        <v>0</v>
      </c>
      <c r="AI350" s="801">
        <f>'Procesy - AS IS'!AJ88/(1+$AE350)-'Procesy - AS IS'!AJ88</f>
        <v>0</v>
      </c>
      <c r="AK350" s="232"/>
      <c r="AY350" s="227"/>
    </row>
    <row r="351" spans="1:51" hidden="1" outlineLevel="1" x14ac:dyDescent="0.3">
      <c r="A351" s="159"/>
      <c r="B351" s="1190" t="s">
        <v>540</v>
      </c>
      <c r="C351" s="735" t="str">
        <f>'Optimalizačné opatrenia'!$B$2</f>
        <v>Modernizácia</v>
      </c>
      <c r="D351" s="788" t="s">
        <v>542</v>
      </c>
      <c r="E351" s="773" t="s">
        <v>541</v>
      </c>
      <c r="F351" s="773" t="str">
        <f t="shared" ref="F351:G363" si="465">F77</f>
        <v>A</v>
      </c>
      <c r="G351" s="773" t="str">
        <f t="shared" si="465"/>
        <v>A</v>
      </c>
      <c r="H351" s="773"/>
      <c r="I351" s="773"/>
      <c r="J351" s="773"/>
      <c r="K351" s="773"/>
      <c r="L351" s="773" t="str">
        <f t="shared" ref="L351:L363" si="466">L93</f>
        <v>A</v>
      </c>
      <c r="M351" s="773" t="s">
        <v>542</v>
      </c>
      <c r="N351" s="773" t="s">
        <v>542</v>
      </c>
      <c r="O351" s="773"/>
      <c r="P351" s="773" t="str">
        <f t="shared" ref="P351:P363" si="467">P277</f>
        <v>A</v>
      </c>
      <c r="Q351" s="773" t="str">
        <f t="shared" ref="Q351:Q363" si="468">G351</f>
        <v>A</v>
      </c>
      <c r="R351" s="773" t="str">
        <f t="shared" ref="R351:R363" si="469">R7</f>
        <v>A</v>
      </c>
      <c r="S351" s="773" t="str">
        <f t="shared" ref="S351:S363" si="470">R351</f>
        <v>A</v>
      </c>
      <c r="T351" s="773" t="str">
        <f t="shared" ref="T351:T363" si="471">R351</f>
        <v>A</v>
      </c>
      <c r="U351" s="773" t="str">
        <f t="shared" ref="U351:U363" si="472">G351</f>
        <v>A</v>
      </c>
      <c r="V351" s="773" t="str">
        <f t="shared" ref="V351:W363" si="473">V7</f>
        <v>A</v>
      </c>
      <c r="W351" s="773" t="str">
        <f t="shared" si="473"/>
        <v>A</v>
      </c>
      <c r="X351" s="773" t="str">
        <f t="shared" ref="X351:X363" si="474">G351</f>
        <v>A</v>
      </c>
      <c r="Y351" s="773" t="str">
        <f t="shared" ref="Y351:Y363" si="475">R351</f>
        <v>A</v>
      </c>
      <c r="Z351" s="773" t="str">
        <f t="shared" ref="Z351:Z363" si="476">R351</f>
        <v>A</v>
      </c>
      <c r="AA351" s="773" t="str">
        <f t="shared" ref="AA351:AA363" si="477">$V351</f>
        <v>A</v>
      </c>
      <c r="AB351" s="773" t="str">
        <f t="shared" ref="AB351:AB363" si="478">G351</f>
        <v>A</v>
      </c>
      <c r="AC351" s="773" t="str">
        <f t="shared" ref="AC351:AC363" si="479">R351</f>
        <v>A</v>
      </c>
      <c r="AD351" s="876"/>
      <c r="AE351" s="863"/>
      <c r="AF351" s="870"/>
      <c r="AG351" s="1019"/>
      <c r="AH351" s="802"/>
      <c r="AI351" s="803"/>
    </row>
    <row r="352" spans="1:51" hidden="1" outlineLevel="1" x14ac:dyDescent="0.3">
      <c r="A352" s="159"/>
      <c r="B352" s="1191"/>
      <c r="C352" s="735" t="str">
        <f>'Optimalizačné opatrenia'!$B$3</f>
        <v>Sfunkčnenie</v>
      </c>
      <c r="D352" s="788" t="s">
        <v>542</v>
      </c>
      <c r="E352" s="773" t="s">
        <v>542</v>
      </c>
      <c r="F352" s="773" t="str">
        <f t="shared" si="465"/>
        <v>N</v>
      </c>
      <c r="G352" s="773" t="str">
        <f t="shared" si="465"/>
        <v>N</v>
      </c>
      <c r="H352" s="773"/>
      <c r="I352" s="773"/>
      <c r="J352" s="773"/>
      <c r="K352" s="773"/>
      <c r="L352" s="773" t="str">
        <f t="shared" si="466"/>
        <v>N</v>
      </c>
      <c r="M352" s="773" t="s">
        <v>542</v>
      </c>
      <c r="N352" s="773" t="s">
        <v>542</v>
      </c>
      <c r="O352" s="773"/>
      <c r="P352" s="773" t="str">
        <f t="shared" si="467"/>
        <v>N</v>
      </c>
      <c r="Q352" s="773" t="str">
        <f t="shared" si="468"/>
        <v>N</v>
      </c>
      <c r="R352" s="773" t="str">
        <f t="shared" si="469"/>
        <v>N</v>
      </c>
      <c r="S352" s="773" t="str">
        <f t="shared" si="470"/>
        <v>N</v>
      </c>
      <c r="T352" s="773" t="str">
        <f t="shared" si="471"/>
        <v>N</v>
      </c>
      <c r="U352" s="773" t="str">
        <f t="shared" si="472"/>
        <v>N</v>
      </c>
      <c r="V352" s="773" t="str">
        <f t="shared" si="473"/>
        <v>N</v>
      </c>
      <c r="W352" s="773" t="str">
        <f t="shared" si="473"/>
        <v>N</v>
      </c>
      <c r="X352" s="773" t="str">
        <f t="shared" si="474"/>
        <v>N</v>
      </c>
      <c r="Y352" s="773" t="str">
        <f t="shared" si="475"/>
        <v>N</v>
      </c>
      <c r="Z352" s="773" t="str">
        <f t="shared" si="476"/>
        <v>N</v>
      </c>
      <c r="AA352" s="773" t="str">
        <f t="shared" si="477"/>
        <v>N</v>
      </c>
      <c r="AB352" s="773" t="str">
        <f t="shared" si="478"/>
        <v>N</v>
      </c>
      <c r="AC352" s="773" t="str">
        <f t="shared" si="479"/>
        <v>N</v>
      </c>
      <c r="AD352" s="876"/>
      <c r="AE352" s="863"/>
      <c r="AF352" s="870"/>
      <c r="AG352" s="1019"/>
      <c r="AH352" s="802"/>
      <c r="AI352" s="803"/>
    </row>
    <row r="353" spans="1:51" hidden="1" outlineLevel="1" x14ac:dyDescent="0.3">
      <c r="A353" s="159"/>
      <c r="B353" s="1191"/>
      <c r="C353" s="735" t="str">
        <f>'Optimalizačné opatrenia'!$B$4</f>
        <v>Zjednotenie</v>
      </c>
      <c r="D353" s="788" t="s">
        <v>542</v>
      </c>
      <c r="E353" s="773" t="s">
        <v>542</v>
      </c>
      <c r="F353" s="773" t="str">
        <f t="shared" si="465"/>
        <v>A</v>
      </c>
      <c r="G353" s="773" t="str">
        <f t="shared" si="465"/>
        <v>A</v>
      </c>
      <c r="H353" s="773"/>
      <c r="I353" s="773"/>
      <c r="J353" s="773"/>
      <c r="K353" s="773"/>
      <c r="L353" s="773" t="str">
        <f t="shared" si="466"/>
        <v>A</v>
      </c>
      <c r="M353" s="773" t="s">
        <v>542</v>
      </c>
      <c r="N353" s="773" t="s">
        <v>542</v>
      </c>
      <c r="O353" s="773"/>
      <c r="P353" s="773" t="str">
        <f t="shared" si="467"/>
        <v>A</v>
      </c>
      <c r="Q353" s="773" t="str">
        <f t="shared" si="468"/>
        <v>A</v>
      </c>
      <c r="R353" s="773" t="str">
        <f t="shared" si="469"/>
        <v>A</v>
      </c>
      <c r="S353" s="773" t="str">
        <f t="shared" si="470"/>
        <v>A</v>
      </c>
      <c r="T353" s="773" t="str">
        <f t="shared" si="471"/>
        <v>A</v>
      </c>
      <c r="U353" s="773" t="str">
        <f t="shared" si="472"/>
        <v>A</v>
      </c>
      <c r="V353" s="773" t="str">
        <f t="shared" si="473"/>
        <v>A</v>
      </c>
      <c r="W353" s="773" t="str">
        <f t="shared" si="473"/>
        <v>A</v>
      </c>
      <c r="X353" s="773" t="str">
        <f t="shared" si="474"/>
        <v>A</v>
      </c>
      <c r="Y353" s="773" t="str">
        <f t="shared" si="475"/>
        <v>A</v>
      </c>
      <c r="Z353" s="773" t="str">
        <f t="shared" si="476"/>
        <v>A</v>
      </c>
      <c r="AA353" s="773" t="str">
        <f t="shared" si="477"/>
        <v>A</v>
      </c>
      <c r="AB353" s="773" t="str">
        <f t="shared" si="478"/>
        <v>A</v>
      </c>
      <c r="AC353" s="773" t="str">
        <f t="shared" si="479"/>
        <v>A</v>
      </c>
      <c r="AD353" s="876"/>
      <c r="AE353" s="863"/>
      <c r="AF353" s="870"/>
      <c r="AG353" s="1019"/>
      <c r="AH353" s="802"/>
      <c r="AI353" s="803"/>
    </row>
    <row r="354" spans="1:51" hidden="1" outlineLevel="1" x14ac:dyDescent="0.3">
      <c r="A354" s="159"/>
      <c r="B354" s="1191"/>
      <c r="C354" s="735" t="str">
        <f>'Optimalizačné opatrenia'!$B$5</f>
        <v>Centralizácia</v>
      </c>
      <c r="D354" s="788" t="s">
        <v>542</v>
      </c>
      <c r="E354" s="773" t="s">
        <v>542</v>
      </c>
      <c r="F354" s="773" t="str">
        <f t="shared" si="465"/>
        <v>A</v>
      </c>
      <c r="G354" s="773" t="str">
        <f t="shared" si="465"/>
        <v>A</v>
      </c>
      <c r="H354" s="773"/>
      <c r="I354" s="773"/>
      <c r="J354" s="773"/>
      <c r="K354" s="773"/>
      <c r="L354" s="773" t="str">
        <f t="shared" si="466"/>
        <v>A</v>
      </c>
      <c r="M354" s="773" t="s">
        <v>542</v>
      </c>
      <c r="N354" s="773" t="s">
        <v>542</v>
      </c>
      <c r="O354" s="773"/>
      <c r="P354" s="773" t="str">
        <f t="shared" si="467"/>
        <v>A</v>
      </c>
      <c r="Q354" s="773" t="str">
        <f t="shared" si="468"/>
        <v>A</v>
      </c>
      <c r="R354" s="773" t="str">
        <f t="shared" si="469"/>
        <v>A</v>
      </c>
      <c r="S354" s="773" t="str">
        <f t="shared" si="470"/>
        <v>A</v>
      </c>
      <c r="T354" s="773" t="str">
        <f t="shared" si="471"/>
        <v>A</v>
      </c>
      <c r="U354" s="773" t="str">
        <f t="shared" si="472"/>
        <v>A</v>
      </c>
      <c r="V354" s="773" t="str">
        <f t="shared" si="473"/>
        <v>A</v>
      </c>
      <c r="W354" s="773" t="str">
        <f t="shared" si="473"/>
        <v>A</v>
      </c>
      <c r="X354" s="773" t="str">
        <f t="shared" si="474"/>
        <v>A</v>
      </c>
      <c r="Y354" s="773" t="str">
        <f t="shared" si="475"/>
        <v>A</v>
      </c>
      <c r="Z354" s="773" t="str">
        <f t="shared" si="476"/>
        <v>A</v>
      </c>
      <c r="AA354" s="773" t="str">
        <f t="shared" si="477"/>
        <v>A</v>
      </c>
      <c r="AB354" s="773" t="str">
        <f t="shared" si="478"/>
        <v>A</v>
      </c>
      <c r="AC354" s="773" t="str">
        <f t="shared" si="479"/>
        <v>A</v>
      </c>
      <c r="AD354" s="876"/>
      <c r="AE354" s="863"/>
      <c r="AF354" s="870"/>
      <c r="AG354" s="1019"/>
      <c r="AH354" s="802"/>
      <c r="AI354" s="803"/>
    </row>
    <row r="355" spans="1:51" hidden="1" outlineLevel="1" x14ac:dyDescent="0.3">
      <c r="A355" s="159"/>
      <c r="B355" s="1191"/>
      <c r="C355" s="735" t="str">
        <f>'Optimalizačné opatrenia'!$B$6</f>
        <v>Elektronizácia</v>
      </c>
      <c r="D355" s="788" t="s">
        <v>542</v>
      </c>
      <c r="E355" s="773" t="s">
        <v>541</v>
      </c>
      <c r="F355" s="773" t="str">
        <f t="shared" si="465"/>
        <v>A</v>
      </c>
      <c r="G355" s="773" t="str">
        <f t="shared" si="465"/>
        <v>A</v>
      </c>
      <c r="H355" s="773"/>
      <c r="I355" s="773"/>
      <c r="J355" s="773"/>
      <c r="K355" s="773"/>
      <c r="L355" s="773" t="str">
        <f t="shared" si="466"/>
        <v>A</v>
      </c>
      <c r="M355" s="773" t="s">
        <v>542</v>
      </c>
      <c r="N355" s="773" t="s">
        <v>542</v>
      </c>
      <c r="O355" s="773"/>
      <c r="P355" s="773" t="str">
        <f t="shared" si="467"/>
        <v>A</v>
      </c>
      <c r="Q355" s="773" t="str">
        <f t="shared" si="468"/>
        <v>A</v>
      </c>
      <c r="R355" s="773" t="str">
        <f t="shared" si="469"/>
        <v>A</v>
      </c>
      <c r="S355" s="773" t="str">
        <f t="shared" si="470"/>
        <v>A</v>
      </c>
      <c r="T355" s="773" t="str">
        <f t="shared" si="471"/>
        <v>A</v>
      </c>
      <c r="U355" s="773" t="str">
        <f t="shared" si="472"/>
        <v>A</v>
      </c>
      <c r="V355" s="773" t="str">
        <f t="shared" si="473"/>
        <v>A</v>
      </c>
      <c r="W355" s="773" t="str">
        <f t="shared" si="473"/>
        <v>A</v>
      </c>
      <c r="X355" s="773" t="str">
        <f t="shared" si="474"/>
        <v>A</v>
      </c>
      <c r="Y355" s="773" t="str">
        <f t="shared" si="475"/>
        <v>A</v>
      </c>
      <c r="Z355" s="773" t="str">
        <f t="shared" si="476"/>
        <v>A</v>
      </c>
      <c r="AA355" s="773" t="str">
        <f t="shared" si="477"/>
        <v>A</v>
      </c>
      <c r="AB355" s="773" t="str">
        <f t="shared" si="478"/>
        <v>A</v>
      </c>
      <c r="AC355" s="773" t="str">
        <f t="shared" si="479"/>
        <v>A</v>
      </c>
      <c r="AD355" s="876"/>
      <c r="AE355" s="863"/>
      <c r="AF355" s="870"/>
      <c r="AG355" s="1019"/>
      <c r="AH355" s="802"/>
      <c r="AI355" s="803"/>
    </row>
    <row r="356" spans="1:51" hidden="1" outlineLevel="1" x14ac:dyDescent="0.3">
      <c r="A356" s="159"/>
      <c r="B356" s="1191"/>
      <c r="C356" s="735" t="str">
        <f>'Optimalizačné opatrenia'!$B$7</f>
        <v>Automatizácia</v>
      </c>
      <c r="D356" s="788" t="s">
        <v>542</v>
      </c>
      <c r="E356" s="773" t="s">
        <v>541</v>
      </c>
      <c r="F356" s="773" t="str">
        <f t="shared" si="465"/>
        <v>A</v>
      </c>
      <c r="G356" s="773" t="str">
        <f t="shared" si="465"/>
        <v>A</v>
      </c>
      <c r="H356" s="773"/>
      <c r="I356" s="773"/>
      <c r="J356" s="773"/>
      <c r="K356" s="773"/>
      <c r="L356" s="773" t="str">
        <f t="shared" si="466"/>
        <v>A</v>
      </c>
      <c r="M356" s="773" t="s">
        <v>542</v>
      </c>
      <c r="N356" s="773" t="s">
        <v>542</v>
      </c>
      <c r="O356" s="773"/>
      <c r="P356" s="773" t="str">
        <f t="shared" si="467"/>
        <v>A</v>
      </c>
      <c r="Q356" s="773" t="str">
        <f t="shared" si="468"/>
        <v>A</v>
      </c>
      <c r="R356" s="773" t="str">
        <f t="shared" si="469"/>
        <v>A</v>
      </c>
      <c r="S356" s="773" t="str">
        <f t="shared" si="470"/>
        <v>A</v>
      </c>
      <c r="T356" s="773" t="str">
        <f t="shared" si="471"/>
        <v>A</v>
      </c>
      <c r="U356" s="773" t="str">
        <f t="shared" si="472"/>
        <v>A</v>
      </c>
      <c r="V356" s="773" t="str">
        <f t="shared" si="473"/>
        <v>A</v>
      </c>
      <c r="W356" s="773" t="str">
        <f t="shared" si="473"/>
        <v>A</v>
      </c>
      <c r="X356" s="773" t="str">
        <f t="shared" si="474"/>
        <v>A</v>
      </c>
      <c r="Y356" s="773" t="str">
        <f t="shared" si="475"/>
        <v>A</v>
      </c>
      <c r="Z356" s="773" t="str">
        <f t="shared" si="476"/>
        <v>A</v>
      </c>
      <c r="AA356" s="773" t="str">
        <f t="shared" si="477"/>
        <v>A</v>
      </c>
      <c r="AB356" s="773" t="str">
        <f t="shared" si="478"/>
        <v>A</v>
      </c>
      <c r="AC356" s="773" t="str">
        <f t="shared" si="479"/>
        <v>A</v>
      </c>
      <c r="AD356" s="876"/>
      <c r="AE356" s="863"/>
      <c r="AF356" s="870"/>
      <c r="AG356" s="1019"/>
      <c r="AH356" s="802"/>
      <c r="AI356" s="803"/>
    </row>
    <row r="357" spans="1:51" hidden="1" outlineLevel="1" x14ac:dyDescent="0.3">
      <c r="A357" s="159"/>
      <c r="B357" s="1191"/>
      <c r="C357" s="735" t="str">
        <f>'Optimalizačné opatrenia'!$B$8</f>
        <v>Bezpečnosť</v>
      </c>
      <c r="D357" s="788" t="s">
        <v>542</v>
      </c>
      <c r="E357" s="773" t="s">
        <v>542</v>
      </c>
      <c r="F357" s="773" t="str">
        <f t="shared" si="465"/>
        <v>A</v>
      </c>
      <c r="G357" s="773" t="str">
        <f t="shared" si="465"/>
        <v>A</v>
      </c>
      <c r="H357" s="773"/>
      <c r="I357" s="773"/>
      <c r="J357" s="773"/>
      <c r="K357" s="773"/>
      <c r="L357" s="773" t="str">
        <f t="shared" si="466"/>
        <v>A</v>
      </c>
      <c r="M357" s="773" t="s">
        <v>542</v>
      </c>
      <c r="N357" s="773" t="s">
        <v>542</v>
      </c>
      <c r="O357" s="773"/>
      <c r="P357" s="773" t="str">
        <f t="shared" si="467"/>
        <v>A</v>
      </c>
      <c r="Q357" s="773" t="str">
        <f t="shared" si="468"/>
        <v>A</v>
      </c>
      <c r="R357" s="773" t="str">
        <f t="shared" si="469"/>
        <v>A</v>
      </c>
      <c r="S357" s="773" t="str">
        <f t="shared" si="470"/>
        <v>A</v>
      </c>
      <c r="T357" s="773" t="str">
        <f t="shared" si="471"/>
        <v>A</v>
      </c>
      <c r="U357" s="773" t="str">
        <f t="shared" si="472"/>
        <v>A</v>
      </c>
      <c r="V357" s="773" t="str">
        <f t="shared" si="473"/>
        <v>A</v>
      </c>
      <c r="W357" s="773" t="str">
        <f t="shared" si="473"/>
        <v>A</v>
      </c>
      <c r="X357" s="773" t="str">
        <f t="shared" si="474"/>
        <v>A</v>
      </c>
      <c r="Y357" s="773" t="str">
        <f t="shared" si="475"/>
        <v>A</v>
      </c>
      <c r="Z357" s="773" t="str">
        <f t="shared" si="476"/>
        <v>A</v>
      </c>
      <c r="AA357" s="773" t="str">
        <f t="shared" si="477"/>
        <v>A</v>
      </c>
      <c r="AB357" s="773" t="str">
        <f t="shared" si="478"/>
        <v>A</v>
      </c>
      <c r="AC357" s="773" t="str">
        <f t="shared" si="479"/>
        <v>A</v>
      </c>
      <c r="AD357" s="876"/>
      <c r="AE357" s="863"/>
      <c r="AF357" s="870"/>
      <c r="AG357" s="1019"/>
      <c r="AH357" s="802"/>
      <c r="AI357" s="803"/>
    </row>
    <row r="358" spans="1:51" hidden="1" outlineLevel="1" x14ac:dyDescent="0.3">
      <c r="A358" s="159"/>
      <c r="B358" s="1191"/>
      <c r="C358" s="735" t="str">
        <f>'Optimalizačné opatrenia'!$B$9</f>
        <v>Auditovateľnosť</v>
      </c>
      <c r="D358" s="788" t="s">
        <v>542</v>
      </c>
      <c r="E358" s="773" t="s">
        <v>541</v>
      </c>
      <c r="F358" s="773" t="str">
        <f t="shared" si="465"/>
        <v>A</v>
      </c>
      <c r="G358" s="773" t="str">
        <f t="shared" si="465"/>
        <v>A</v>
      </c>
      <c r="H358" s="773"/>
      <c r="I358" s="773"/>
      <c r="J358" s="773"/>
      <c r="K358" s="773"/>
      <c r="L358" s="773" t="str">
        <f t="shared" si="466"/>
        <v>A</v>
      </c>
      <c r="M358" s="773" t="s">
        <v>542</v>
      </c>
      <c r="N358" s="773" t="s">
        <v>542</v>
      </c>
      <c r="O358" s="773"/>
      <c r="P358" s="773" t="str">
        <f t="shared" si="467"/>
        <v>A</v>
      </c>
      <c r="Q358" s="773" t="str">
        <f t="shared" si="468"/>
        <v>A</v>
      </c>
      <c r="R358" s="773" t="str">
        <f t="shared" si="469"/>
        <v>A</v>
      </c>
      <c r="S358" s="773" t="str">
        <f t="shared" si="470"/>
        <v>A</v>
      </c>
      <c r="T358" s="773" t="str">
        <f t="shared" si="471"/>
        <v>A</v>
      </c>
      <c r="U358" s="773" t="str">
        <f t="shared" si="472"/>
        <v>A</v>
      </c>
      <c r="V358" s="773" t="str">
        <f t="shared" si="473"/>
        <v>A</v>
      </c>
      <c r="W358" s="773" t="str">
        <f t="shared" si="473"/>
        <v>A</v>
      </c>
      <c r="X358" s="773" t="str">
        <f t="shared" si="474"/>
        <v>A</v>
      </c>
      <c r="Y358" s="773" t="str">
        <f t="shared" si="475"/>
        <v>A</v>
      </c>
      <c r="Z358" s="773" t="str">
        <f t="shared" si="476"/>
        <v>A</v>
      </c>
      <c r="AA358" s="773" t="str">
        <f t="shared" si="477"/>
        <v>A</v>
      </c>
      <c r="AB358" s="773" t="str">
        <f t="shared" si="478"/>
        <v>A</v>
      </c>
      <c r="AC358" s="773" t="str">
        <f t="shared" si="479"/>
        <v>A</v>
      </c>
      <c r="AD358" s="876"/>
      <c r="AE358" s="863"/>
      <c r="AF358" s="870"/>
      <c r="AG358" s="1019"/>
      <c r="AH358" s="802"/>
      <c r="AI358" s="803"/>
    </row>
    <row r="359" spans="1:51" hidden="1" outlineLevel="1" x14ac:dyDescent="0.3">
      <c r="A359" s="159"/>
      <c r="B359" s="1191"/>
      <c r="C359" s="735" t="str">
        <f>'Optimalizačné opatrenia'!$B$10</f>
        <v>Transparentnosť</v>
      </c>
      <c r="D359" s="788" t="s">
        <v>542</v>
      </c>
      <c r="E359" s="773" t="s">
        <v>542</v>
      </c>
      <c r="F359" s="773" t="str">
        <f t="shared" si="465"/>
        <v>N</v>
      </c>
      <c r="G359" s="773" t="str">
        <f t="shared" si="465"/>
        <v>N</v>
      </c>
      <c r="H359" s="773"/>
      <c r="I359" s="773"/>
      <c r="J359" s="773"/>
      <c r="K359" s="773"/>
      <c r="L359" s="773" t="str">
        <f t="shared" si="466"/>
        <v>N</v>
      </c>
      <c r="M359" s="773" t="s">
        <v>542</v>
      </c>
      <c r="N359" s="773" t="s">
        <v>542</v>
      </c>
      <c r="O359" s="773"/>
      <c r="P359" s="773" t="str">
        <f t="shared" si="467"/>
        <v>A</v>
      </c>
      <c r="Q359" s="773" t="str">
        <f t="shared" si="468"/>
        <v>N</v>
      </c>
      <c r="R359" s="773" t="str">
        <f t="shared" si="469"/>
        <v>N</v>
      </c>
      <c r="S359" s="773" t="str">
        <f t="shared" si="470"/>
        <v>N</v>
      </c>
      <c r="T359" s="773" t="str">
        <f t="shared" si="471"/>
        <v>N</v>
      </c>
      <c r="U359" s="773" t="str">
        <f t="shared" si="472"/>
        <v>N</v>
      </c>
      <c r="V359" s="773" t="str">
        <f t="shared" si="473"/>
        <v>A</v>
      </c>
      <c r="W359" s="773" t="str">
        <f t="shared" si="473"/>
        <v>N</v>
      </c>
      <c r="X359" s="773" t="str">
        <f t="shared" si="474"/>
        <v>N</v>
      </c>
      <c r="Y359" s="773" t="str">
        <f t="shared" si="475"/>
        <v>N</v>
      </c>
      <c r="Z359" s="773" t="str">
        <f t="shared" si="476"/>
        <v>N</v>
      </c>
      <c r="AA359" s="773" t="str">
        <f t="shared" si="477"/>
        <v>A</v>
      </c>
      <c r="AB359" s="773" t="str">
        <f t="shared" si="478"/>
        <v>N</v>
      </c>
      <c r="AC359" s="773" t="str">
        <f t="shared" si="479"/>
        <v>N</v>
      </c>
      <c r="AD359" s="876"/>
      <c r="AE359" s="863"/>
      <c r="AF359" s="870"/>
      <c r="AG359" s="1019"/>
      <c r="AH359" s="802"/>
      <c r="AI359" s="803"/>
    </row>
    <row r="360" spans="1:51" hidden="1" outlineLevel="1" x14ac:dyDescent="0.3">
      <c r="A360" s="159"/>
      <c r="B360" s="1191"/>
      <c r="C360" s="735" t="str">
        <f>'Optimalizačné opatrenia'!$B$11</f>
        <v>Analyzovatelnosť</v>
      </c>
      <c r="D360" s="788" t="s">
        <v>542</v>
      </c>
      <c r="E360" s="773" t="s">
        <v>542</v>
      </c>
      <c r="F360" s="773" t="str">
        <f t="shared" si="465"/>
        <v>A</v>
      </c>
      <c r="G360" s="773" t="str">
        <f t="shared" si="465"/>
        <v>A</v>
      </c>
      <c r="H360" s="773"/>
      <c r="I360" s="773"/>
      <c r="J360" s="773"/>
      <c r="K360" s="773"/>
      <c r="L360" s="773" t="str">
        <f t="shared" si="466"/>
        <v>A</v>
      </c>
      <c r="M360" s="773" t="s">
        <v>542</v>
      </c>
      <c r="N360" s="773" t="s">
        <v>542</v>
      </c>
      <c r="O360" s="773"/>
      <c r="P360" s="773" t="str">
        <f t="shared" si="467"/>
        <v>A</v>
      </c>
      <c r="Q360" s="773" t="str">
        <f t="shared" si="468"/>
        <v>A</v>
      </c>
      <c r="R360" s="773" t="str">
        <f t="shared" si="469"/>
        <v>A</v>
      </c>
      <c r="S360" s="773" t="str">
        <f t="shared" si="470"/>
        <v>A</v>
      </c>
      <c r="T360" s="773" t="str">
        <f t="shared" si="471"/>
        <v>A</v>
      </c>
      <c r="U360" s="773" t="str">
        <f t="shared" si="472"/>
        <v>A</v>
      </c>
      <c r="V360" s="773" t="str">
        <f t="shared" si="473"/>
        <v>A</v>
      </c>
      <c r="W360" s="773" t="str">
        <f t="shared" si="473"/>
        <v>A</v>
      </c>
      <c r="X360" s="773" t="str">
        <f t="shared" si="474"/>
        <v>A</v>
      </c>
      <c r="Y360" s="773" t="str">
        <f t="shared" si="475"/>
        <v>A</v>
      </c>
      <c r="Z360" s="773" t="str">
        <f t="shared" si="476"/>
        <v>A</v>
      </c>
      <c r="AA360" s="773" t="str">
        <f t="shared" si="477"/>
        <v>A</v>
      </c>
      <c r="AB360" s="773" t="str">
        <f t="shared" si="478"/>
        <v>A</v>
      </c>
      <c r="AC360" s="773" t="str">
        <f t="shared" si="479"/>
        <v>A</v>
      </c>
      <c r="AD360" s="876"/>
      <c r="AE360" s="863"/>
      <c r="AF360" s="870"/>
      <c r="AG360" s="1019"/>
      <c r="AH360" s="802"/>
      <c r="AI360" s="803"/>
    </row>
    <row r="361" spans="1:51" hidden="1" outlineLevel="1" x14ac:dyDescent="0.3">
      <c r="A361" s="159"/>
      <c r="B361" s="1191"/>
      <c r="C361" s="735" t="str">
        <f>'Optimalizačné opatrenia'!$B$12</f>
        <v>Integrácia</v>
      </c>
      <c r="D361" s="788" t="s">
        <v>542</v>
      </c>
      <c r="E361" s="773" t="s">
        <v>541</v>
      </c>
      <c r="F361" s="773" t="str">
        <f t="shared" si="465"/>
        <v>A</v>
      </c>
      <c r="G361" s="773" t="str">
        <f t="shared" si="465"/>
        <v>A</v>
      </c>
      <c r="H361" s="773"/>
      <c r="I361" s="773"/>
      <c r="J361" s="773"/>
      <c r="K361" s="773"/>
      <c r="L361" s="773" t="str">
        <f t="shared" si="466"/>
        <v>A</v>
      </c>
      <c r="M361" s="773" t="s">
        <v>542</v>
      </c>
      <c r="N361" s="773" t="s">
        <v>542</v>
      </c>
      <c r="O361" s="773"/>
      <c r="P361" s="773" t="str">
        <f t="shared" si="467"/>
        <v>A</v>
      </c>
      <c r="Q361" s="773" t="str">
        <f t="shared" si="468"/>
        <v>A</v>
      </c>
      <c r="R361" s="773" t="str">
        <f t="shared" si="469"/>
        <v>A</v>
      </c>
      <c r="S361" s="773" t="str">
        <f t="shared" si="470"/>
        <v>A</v>
      </c>
      <c r="T361" s="773" t="str">
        <f t="shared" si="471"/>
        <v>A</v>
      </c>
      <c r="U361" s="773" t="str">
        <f t="shared" si="472"/>
        <v>A</v>
      </c>
      <c r="V361" s="773" t="str">
        <f t="shared" si="473"/>
        <v>A</v>
      </c>
      <c r="W361" s="773" t="str">
        <f t="shared" si="473"/>
        <v>A</v>
      </c>
      <c r="X361" s="773" t="str">
        <f t="shared" si="474"/>
        <v>A</v>
      </c>
      <c r="Y361" s="773" t="str">
        <f t="shared" si="475"/>
        <v>A</v>
      </c>
      <c r="Z361" s="773" t="str">
        <f t="shared" si="476"/>
        <v>A</v>
      </c>
      <c r="AA361" s="773" t="str">
        <f t="shared" si="477"/>
        <v>A</v>
      </c>
      <c r="AB361" s="773" t="str">
        <f t="shared" si="478"/>
        <v>A</v>
      </c>
      <c r="AC361" s="773" t="str">
        <f t="shared" si="479"/>
        <v>A</v>
      </c>
      <c r="AD361" s="876"/>
      <c r="AE361" s="863"/>
      <c r="AF361" s="870"/>
      <c r="AG361" s="1019"/>
      <c r="AH361" s="802"/>
      <c r="AI361" s="803"/>
    </row>
    <row r="362" spans="1:51" hidden="1" outlineLevel="1" x14ac:dyDescent="0.3">
      <c r="A362" s="159"/>
      <c r="B362" s="1191"/>
      <c r="C362" s="740" t="str">
        <f>'Optimalizačné opatrenia'!$B$13</f>
        <v>Proaktivita</v>
      </c>
      <c r="D362" s="788" t="s">
        <v>542</v>
      </c>
      <c r="E362" s="773" t="s">
        <v>542</v>
      </c>
      <c r="F362" s="773" t="str">
        <f t="shared" si="465"/>
        <v>A</v>
      </c>
      <c r="G362" s="773" t="str">
        <f t="shared" si="465"/>
        <v>N</v>
      </c>
      <c r="H362" s="773"/>
      <c r="I362" s="773"/>
      <c r="J362" s="773"/>
      <c r="K362" s="773"/>
      <c r="L362" s="773" t="str">
        <f t="shared" si="466"/>
        <v>A</v>
      </c>
      <c r="M362" s="773" t="s">
        <v>542</v>
      </c>
      <c r="N362" s="773" t="s">
        <v>542</v>
      </c>
      <c r="O362" s="773"/>
      <c r="P362" s="773" t="str">
        <f t="shared" si="467"/>
        <v>N</v>
      </c>
      <c r="Q362" s="773" t="str">
        <f t="shared" si="468"/>
        <v>N</v>
      </c>
      <c r="R362" s="773" t="str">
        <f t="shared" si="469"/>
        <v>A</v>
      </c>
      <c r="S362" s="773" t="str">
        <f t="shared" si="470"/>
        <v>A</v>
      </c>
      <c r="T362" s="773" t="str">
        <f t="shared" si="471"/>
        <v>A</v>
      </c>
      <c r="U362" s="773" t="str">
        <f t="shared" si="472"/>
        <v>N</v>
      </c>
      <c r="V362" s="773" t="str">
        <f t="shared" si="473"/>
        <v>A</v>
      </c>
      <c r="W362" s="773" t="str">
        <f t="shared" si="473"/>
        <v>N</v>
      </c>
      <c r="X362" s="773" t="str">
        <f t="shared" si="474"/>
        <v>N</v>
      </c>
      <c r="Y362" s="773" t="str">
        <f t="shared" si="475"/>
        <v>A</v>
      </c>
      <c r="Z362" s="773" t="str">
        <f t="shared" si="476"/>
        <v>A</v>
      </c>
      <c r="AA362" s="773" t="str">
        <f t="shared" si="477"/>
        <v>A</v>
      </c>
      <c r="AB362" s="773" t="str">
        <f t="shared" si="478"/>
        <v>N</v>
      </c>
      <c r="AC362" s="773" t="str">
        <f t="shared" si="479"/>
        <v>A</v>
      </c>
      <c r="AD362" s="876"/>
      <c r="AE362" s="863"/>
      <c r="AF362" s="870"/>
      <c r="AG362" s="1019"/>
      <c r="AH362" s="802"/>
      <c r="AI362" s="803"/>
    </row>
    <row r="363" spans="1:51" hidden="1" outlineLevel="1" x14ac:dyDescent="0.3">
      <c r="A363" s="159"/>
      <c r="B363" s="790"/>
      <c r="C363" s="792" t="s">
        <v>550</v>
      </c>
      <c r="D363" s="793">
        <v>0</v>
      </c>
      <c r="E363" s="791">
        <v>0.2</v>
      </c>
      <c r="F363" s="794">
        <f t="shared" si="465"/>
        <v>0.4</v>
      </c>
      <c r="G363" s="794">
        <f t="shared" si="465"/>
        <v>0.3</v>
      </c>
      <c r="H363" s="794"/>
      <c r="I363" s="794"/>
      <c r="J363" s="794"/>
      <c r="K363" s="794"/>
      <c r="L363" s="794">
        <f t="shared" si="466"/>
        <v>0.4</v>
      </c>
      <c r="M363" s="794">
        <v>0</v>
      </c>
      <c r="N363" s="794">
        <v>0</v>
      </c>
      <c r="O363" s="794"/>
      <c r="P363" s="794">
        <f t="shared" si="467"/>
        <v>0.45</v>
      </c>
      <c r="Q363" s="794">
        <f t="shared" si="468"/>
        <v>0.3</v>
      </c>
      <c r="R363" s="794">
        <f t="shared" si="469"/>
        <v>0.4</v>
      </c>
      <c r="S363" s="794">
        <f t="shared" si="470"/>
        <v>0.4</v>
      </c>
      <c r="T363" s="794">
        <f t="shared" si="471"/>
        <v>0.4</v>
      </c>
      <c r="U363" s="794">
        <f t="shared" si="472"/>
        <v>0.3</v>
      </c>
      <c r="V363" s="794">
        <f t="shared" si="473"/>
        <v>0.5</v>
      </c>
      <c r="W363" s="794">
        <f t="shared" si="473"/>
        <v>0.3</v>
      </c>
      <c r="X363" s="794">
        <f t="shared" si="474"/>
        <v>0.3</v>
      </c>
      <c r="Y363" s="794">
        <f t="shared" si="475"/>
        <v>0.4</v>
      </c>
      <c r="Z363" s="794">
        <f t="shared" si="476"/>
        <v>0.4</v>
      </c>
      <c r="AA363" s="794">
        <f t="shared" si="477"/>
        <v>0.5</v>
      </c>
      <c r="AB363" s="794">
        <f t="shared" si="478"/>
        <v>0.3</v>
      </c>
      <c r="AC363" s="794">
        <f t="shared" si="479"/>
        <v>0.4</v>
      </c>
      <c r="AD363" s="877"/>
      <c r="AE363" s="864"/>
      <c r="AF363" s="871"/>
      <c r="AG363" s="1020"/>
      <c r="AH363" s="805"/>
      <c r="AI363" s="806"/>
    </row>
    <row r="364" spans="1:51" ht="46.8" customHeight="1" collapsed="1" x14ac:dyDescent="0.3">
      <c r="A364" s="159">
        <f ca="1">OFFSET(A364,-14,0)+1</f>
        <v>26</v>
      </c>
      <c r="B364" s="1013" t="str">
        <f ca="1">'Procesy - AS IS'!B89</f>
        <v>Meranie č. 26</v>
      </c>
      <c r="C364" s="739" t="str">
        <f>'Procesy - AS IS'!C89</f>
        <v>František Karkes, Senec, Používanie GT a GMO zámerným uvoľňovaním, 4785/2017</v>
      </c>
      <c r="D364" s="796">
        <f>-'Procesy - AS IS'!D91*D377</f>
        <v>0</v>
      </c>
      <c r="E364" s="721">
        <f>-'Procesy - AS IS'!E91*E377</f>
        <v>-1.6</v>
      </c>
      <c r="F364" s="721">
        <f>-'Procesy - AS IS'!F91*F377</f>
        <v>-3.2</v>
      </c>
      <c r="G364" s="721">
        <f>-'Procesy - AS IS'!G91*G377</f>
        <v>-1.2</v>
      </c>
      <c r="H364" s="721" t="s">
        <v>568</v>
      </c>
      <c r="I364" s="721" t="s">
        <v>568</v>
      </c>
      <c r="J364" s="721" t="s">
        <v>568</v>
      </c>
      <c r="K364" s="721" t="s">
        <v>568</v>
      </c>
      <c r="L364" s="721">
        <f>-'Procesy - AS IS'!L91*L377</f>
        <v>-1.6</v>
      </c>
      <c r="M364" s="721">
        <f>-'Procesy - AS IS'!M91*M377</f>
        <v>0</v>
      </c>
      <c r="N364" s="721" t="s">
        <v>570</v>
      </c>
      <c r="O364" s="721" t="s">
        <v>572</v>
      </c>
      <c r="P364" s="721">
        <f>-'Procesy - AS IS'!P91*P377</f>
        <v>-1.35</v>
      </c>
      <c r="Q364" s="721">
        <f>-'Procesy - AS IS'!Q91*Q377</f>
        <v>0</v>
      </c>
      <c r="R364" s="721">
        <f>-'Procesy - AS IS'!R91*R377</f>
        <v>-0.89824561403508774</v>
      </c>
      <c r="S364" s="721">
        <f>-'Procesy - AS IS'!S91*S377</f>
        <v>-1.3754385964912281</v>
      </c>
      <c r="T364" s="721">
        <f>-'Procesy - AS IS'!T91*T377</f>
        <v>-0.44912280701754387</v>
      </c>
      <c r="U364" s="721">
        <f>-'Procesy - AS IS'!U91*U377</f>
        <v>-1.0315789473684209</v>
      </c>
      <c r="V364" s="721">
        <f>-'Procesy - AS IS'!V91*V377</f>
        <v>-2</v>
      </c>
      <c r="W364" s="721">
        <f>-'Procesy - AS IS'!W91*W377</f>
        <v>0</v>
      </c>
      <c r="X364" s="721">
        <f>-'Procesy - AS IS'!X91*X377</f>
        <v>0</v>
      </c>
      <c r="Y364" s="721">
        <f>-'Procesy - AS IS'!Y91*Y377</f>
        <v>0</v>
      </c>
      <c r="Z364" s="721">
        <f>-'Procesy - AS IS'!Z91*Z377</f>
        <v>0</v>
      </c>
      <c r="AA364" s="721">
        <f>-'Procesy - AS IS'!AA91*AA377</f>
        <v>0</v>
      </c>
      <c r="AB364" s="721">
        <f>-'Procesy - AS IS'!AB91*AB377</f>
        <v>0</v>
      </c>
      <c r="AC364" s="721">
        <f>-'Procesy - AS IS'!AC91*AC377</f>
        <v>0</v>
      </c>
      <c r="AD364" s="824">
        <f>SUM(D364:AC364)</f>
        <v>-14.704385964912282</v>
      </c>
      <c r="AE364" s="798">
        <f>AD364/'Procesy - AS IS'!AD91</f>
        <v>-0.35650786899191844</v>
      </c>
      <c r="AF364" s="869">
        <f>('Procesy - AS IS'!AG91/(1+$AE364)-'Procesy - AS IS'!AG91)/2</f>
        <v>31.579171761906352</v>
      </c>
      <c r="AG364" s="1018">
        <f>('Procesy - AS IS'!AH91/(1+$AE364)-'Procesy - AS IS'!AH91)/2</f>
        <v>4.4321644578114174</v>
      </c>
      <c r="AH364" s="800">
        <f>('Procesy - AS IS'!AI91/(1+$AE364)-'Procesy - AS IS'!AI91)/2</f>
        <v>0</v>
      </c>
      <c r="AI364" s="801">
        <f>('Procesy - AS IS'!AJ91/(1+$AE364)-'Procesy - AS IS'!AJ91)/2</f>
        <v>0</v>
      </c>
      <c r="AK364" s="232"/>
      <c r="AY364" s="227"/>
    </row>
    <row r="365" spans="1:51" hidden="1" outlineLevel="1" x14ac:dyDescent="0.3">
      <c r="A365" s="159"/>
      <c r="B365" s="1190" t="s">
        <v>540</v>
      </c>
      <c r="C365" s="735" t="str">
        <f>'Optimalizačné opatrenia'!$B$2</f>
        <v>Modernizácia</v>
      </c>
      <c r="D365" s="788" t="str">
        <f t="shared" ref="D365:G377" si="480">D351</f>
        <v>N</v>
      </c>
      <c r="E365" s="773" t="str">
        <f t="shared" si="480"/>
        <v>A</v>
      </c>
      <c r="F365" s="773" t="str">
        <f t="shared" si="480"/>
        <v>A</v>
      </c>
      <c r="G365" s="773" t="str">
        <f t="shared" si="480"/>
        <v>A</v>
      </c>
      <c r="H365" s="773"/>
      <c r="I365" s="773"/>
      <c r="J365" s="773"/>
      <c r="K365" s="773"/>
      <c r="L365" s="773" t="str">
        <f t="shared" ref="L365:N365" si="481">L351</f>
        <v>A</v>
      </c>
      <c r="M365" s="773" t="str">
        <f t="shared" si="481"/>
        <v>N</v>
      </c>
      <c r="N365" s="773" t="str">
        <f t="shared" si="481"/>
        <v>N</v>
      </c>
      <c r="O365" s="773"/>
      <c r="P365" s="773" t="str">
        <f t="shared" ref="P365:AC365" si="482">P351</f>
        <v>A</v>
      </c>
      <c r="Q365" s="773" t="str">
        <f t="shared" si="482"/>
        <v>A</v>
      </c>
      <c r="R365" s="773" t="str">
        <f t="shared" si="482"/>
        <v>A</v>
      </c>
      <c r="S365" s="773" t="str">
        <f t="shared" si="482"/>
        <v>A</v>
      </c>
      <c r="T365" s="773" t="str">
        <f t="shared" si="482"/>
        <v>A</v>
      </c>
      <c r="U365" s="773" t="str">
        <f t="shared" si="482"/>
        <v>A</v>
      </c>
      <c r="V365" s="773" t="str">
        <f t="shared" si="482"/>
        <v>A</v>
      </c>
      <c r="W365" s="773" t="str">
        <f t="shared" si="482"/>
        <v>A</v>
      </c>
      <c r="X365" s="773" t="str">
        <f t="shared" si="482"/>
        <v>A</v>
      </c>
      <c r="Y365" s="773" t="str">
        <f t="shared" si="482"/>
        <v>A</v>
      </c>
      <c r="Z365" s="773" t="str">
        <f t="shared" si="482"/>
        <v>A</v>
      </c>
      <c r="AA365" s="773" t="str">
        <f t="shared" si="482"/>
        <v>A</v>
      </c>
      <c r="AB365" s="773" t="str">
        <f t="shared" si="482"/>
        <v>A</v>
      </c>
      <c r="AC365" s="773" t="str">
        <f t="shared" si="482"/>
        <v>A</v>
      </c>
      <c r="AD365" s="876"/>
      <c r="AE365" s="863"/>
      <c r="AF365" s="870"/>
      <c r="AG365" s="1019"/>
      <c r="AH365" s="802"/>
      <c r="AI365" s="803"/>
    </row>
    <row r="366" spans="1:51" hidden="1" outlineLevel="1" x14ac:dyDescent="0.3">
      <c r="A366" s="159"/>
      <c r="B366" s="1191"/>
      <c r="C366" s="735" t="str">
        <f>'Optimalizačné opatrenia'!$B$3</f>
        <v>Sfunkčnenie</v>
      </c>
      <c r="D366" s="788" t="str">
        <f t="shared" si="480"/>
        <v>N</v>
      </c>
      <c r="E366" s="773" t="str">
        <f t="shared" si="480"/>
        <v>N</v>
      </c>
      <c r="F366" s="773" t="str">
        <f t="shared" si="480"/>
        <v>N</v>
      </c>
      <c r="G366" s="773" t="str">
        <f t="shared" si="480"/>
        <v>N</v>
      </c>
      <c r="H366" s="773"/>
      <c r="I366" s="773"/>
      <c r="J366" s="773"/>
      <c r="K366" s="773"/>
      <c r="L366" s="773" t="str">
        <f t="shared" ref="L366:N366" si="483">L352</f>
        <v>N</v>
      </c>
      <c r="M366" s="773" t="str">
        <f t="shared" si="483"/>
        <v>N</v>
      </c>
      <c r="N366" s="773" t="str">
        <f t="shared" si="483"/>
        <v>N</v>
      </c>
      <c r="O366" s="773"/>
      <c r="P366" s="773" t="str">
        <f t="shared" ref="P366:AC366" si="484">P352</f>
        <v>N</v>
      </c>
      <c r="Q366" s="773" t="str">
        <f t="shared" si="484"/>
        <v>N</v>
      </c>
      <c r="R366" s="773" t="str">
        <f t="shared" si="484"/>
        <v>N</v>
      </c>
      <c r="S366" s="773" t="str">
        <f t="shared" si="484"/>
        <v>N</v>
      </c>
      <c r="T366" s="773" t="str">
        <f t="shared" si="484"/>
        <v>N</v>
      </c>
      <c r="U366" s="773" t="str">
        <f t="shared" si="484"/>
        <v>N</v>
      </c>
      <c r="V366" s="773" t="str">
        <f t="shared" si="484"/>
        <v>N</v>
      </c>
      <c r="W366" s="773" t="str">
        <f t="shared" si="484"/>
        <v>N</v>
      </c>
      <c r="X366" s="773" t="str">
        <f t="shared" si="484"/>
        <v>N</v>
      </c>
      <c r="Y366" s="773" t="str">
        <f t="shared" si="484"/>
        <v>N</v>
      </c>
      <c r="Z366" s="773" t="str">
        <f t="shared" si="484"/>
        <v>N</v>
      </c>
      <c r="AA366" s="773" t="str">
        <f t="shared" si="484"/>
        <v>N</v>
      </c>
      <c r="AB366" s="773" t="str">
        <f t="shared" si="484"/>
        <v>N</v>
      </c>
      <c r="AC366" s="773" t="str">
        <f t="shared" si="484"/>
        <v>N</v>
      </c>
      <c r="AD366" s="876"/>
      <c r="AE366" s="863"/>
      <c r="AF366" s="870"/>
      <c r="AG366" s="1019"/>
      <c r="AH366" s="802"/>
      <c r="AI366" s="803"/>
    </row>
    <row r="367" spans="1:51" hidden="1" outlineLevel="1" x14ac:dyDescent="0.3">
      <c r="A367" s="159"/>
      <c r="B367" s="1191"/>
      <c r="C367" s="735" t="str">
        <f>'Optimalizačné opatrenia'!$B$4</f>
        <v>Zjednotenie</v>
      </c>
      <c r="D367" s="788" t="str">
        <f t="shared" si="480"/>
        <v>N</v>
      </c>
      <c r="E367" s="773" t="str">
        <f t="shared" si="480"/>
        <v>N</v>
      </c>
      <c r="F367" s="773" t="str">
        <f t="shared" si="480"/>
        <v>A</v>
      </c>
      <c r="G367" s="773" t="str">
        <f t="shared" si="480"/>
        <v>A</v>
      </c>
      <c r="H367" s="773"/>
      <c r="I367" s="773"/>
      <c r="J367" s="773"/>
      <c r="K367" s="773"/>
      <c r="L367" s="773" t="str">
        <f t="shared" ref="L367:N367" si="485">L353</f>
        <v>A</v>
      </c>
      <c r="M367" s="773" t="str">
        <f t="shared" si="485"/>
        <v>N</v>
      </c>
      <c r="N367" s="773" t="str">
        <f t="shared" si="485"/>
        <v>N</v>
      </c>
      <c r="O367" s="773"/>
      <c r="P367" s="773" t="str">
        <f t="shared" ref="P367:AC367" si="486">P353</f>
        <v>A</v>
      </c>
      <c r="Q367" s="773" t="str">
        <f t="shared" si="486"/>
        <v>A</v>
      </c>
      <c r="R367" s="773" t="str">
        <f t="shared" si="486"/>
        <v>A</v>
      </c>
      <c r="S367" s="773" t="str">
        <f t="shared" si="486"/>
        <v>A</v>
      </c>
      <c r="T367" s="773" t="str">
        <f t="shared" si="486"/>
        <v>A</v>
      </c>
      <c r="U367" s="773" t="str">
        <f t="shared" si="486"/>
        <v>A</v>
      </c>
      <c r="V367" s="773" t="str">
        <f t="shared" si="486"/>
        <v>A</v>
      </c>
      <c r="W367" s="773" t="str">
        <f t="shared" si="486"/>
        <v>A</v>
      </c>
      <c r="X367" s="773" t="str">
        <f t="shared" si="486"/>
        <v>A</v>
      </c>
      <c r="Y367" s="773" t="str">
        <f t="shared" si="486"/>
        <v>A</v>
      </c>
      <c r="Z367" s="773" t="str">
        <f t="shared" si="486"/>
        <v>A</v>
      </c>
      <c r="AA367" s="773" t="str">
        <f t="shared" si="486"/>
        <v>A</v>
      </c>
      <c r="AB367" s="773" t="str">
        <f t="shared" si="486"/>
        <v>A</v>
      </c>
      <c r="AC367" s="773" t="str">
        <f t="shared" si="486"/>
        <v>A</v>
      </c>
      <c r="AD367" s="876"/>
      <c r="AE367" s="863"/>
      <c r="AF367" s="870"/>
      <c r="AG367" s="1019"/>
      <c r="AH367" s="802"/>
      <c r="AI367" s="803"/>
    </row>
    <row r="368" spans="1:51" hidden="1" outlineLevel="1" x14ac:dyDescent="0.3">
      <c r="A368" s="159"/>
      <c r="B368" s="1191"/>
      <c r="C368" s="735" t="str">
        <f>'Optimalizačné opatrenia'!$B$5</f>
        <v>Centralizácia</v>
      </c>
      <c r="D368" s="788" t="str">
        <f t="shared" si="480"/>
        <v>N</v>
      </c>
      <c r="E368" s="773" t="str">
        <f t="shared" si="480"/>
        <v>N</v>
      </c>
      <c r="F368" s="773" t="str">
        <f t="shared" si="480"/>
        <v>A</v>
      </c>
      <c r="G368" s="773" t="str">
        <f t="shared" si="480"/>
        <v>A</v>
      </c>
      <c r="H368" s="773"/>
      <c r="I368" s="773"/>
      <c r="J368" s="773"/>
      <c r="K368" s="773"/>
      <c r="L368" s="773" t="str">
        <f t="shared" ref="L368:N368" si="487">L354</f>
        <v>A</v>
      </c>
      <c r="M368" s="773" t="str">
        <f t="shared" si="487"/>
        <v>N</v>
      </c>
      <c r="N368" s="773" t="str">
        <f t="shared" si="487"/>
        <v>N</v>
      </c>
      <c r="O368" s="773"/>
      <c r="P368" s="773" t="str">
        <f t="shared" ref="P368:AC368" si="488">P354</f>
        <v>A</v>
      </c>
      <c r="Q368" s="773" t="str">
        <f t="shared" si="488"/>
        <v>A</v>
      </c>
      <c r="R368" s="773" t="str">
        <f t="shared" si="488"/>
        <v>A</v>
      </c>
      <c r="S368" s="773" t="str">
        <f t="shared" si="488"/>
        <v>A</v>
      </c>
      <c r="T368" s="773" t="str">
        <f t="shared" si="488"/>
        <v>A</v>
      </c>
      <c r="U368" s="773" t="str">
        <f t="shared" si="488"/>
        <v>A</v>
      </c>
      <c r="V368" s="773" t="str">
        <f t="shared" si="488"/>
        <v>A</v>
      </c>
      <c r="W368" s="773" t="str">
        <f t="shared" si="488"/>
        <v>A</v>
      </c>
      <c r="X368" s="773" t="str">
        <f t="shared" si="488"/>
        <v>A</v>
      </c>
      <c r="Y368" s="773" t="str">
        <f t="shared" si="488"/>
        <v>A</v>
      </c>
      <c r="Z368" s="773" t="str">
        <f t="shared" si="488"/>
        <v>A</v>
      </c>
      <c r="AA368" s="773" t="str">
        <f t="shared" si="488"/>
        <v>A</v>
      </c>
      <c r="AB368" s="773" t="str">
        <f t="shared" si="488"/>
        <v>A</v>
      </c>
      <c r="AC368" s="773" t="str">
        <f t="shared" si="488"/>
        <v>A</v>
      </c>
      <c r="AD368" s="876"/>
      <c r="AE368" s="863"/>
      <c r="AF368" s="870"/>
      <c r="AG368" s="1019"/>
      <c r="AH368" s="802"/>
      <c r="AI368" s="803"/>
    </row>
    <row r="369" spans="1:51" hidden="1" outlineLevel="1" x14ac:dyDescent="0.3">
      <c r="A369" s="159"/>
      <c r="B369" s="1191"/>
      <c r="C369" s="735" t="str">
        <f>'Optimalizačné opatrenia'!$B$6</f>
        <v>Elektronizácia</v>
      </c>
      <c r="D369" s="788" t="str">
        <f t="shared" si="480"/>
        <v>N</v>
      </c>
      <c r="E369" s="773" t="str">
        <f t="shared" si="480"/>
        <v>A</v>
      </c>
      <c r="F369" s="773" t="str">
        <f t="shared" si="480"/>
        <v>A</v>
      </c>
      <c r="G369" s="773" t="str">
        <f t="shared" si="480"/>
        <v>A</v>
      </c>
      <c r="H369" s="773"/>
      <c r="I369" s="773"/>
      <c r="J369" s="773"/>
      <c r="K369" s="773"/>
      <c r="L369" s="773" t="str">
        <f t="shared" ref="L369:N369" si="489">L355</f>
        <v>A</v>
      </c>
      <c r="M369" s="773" t="str">
        <f t="shared" si="489"/>
        <v>N</v>
      </c>
      <c r="N369" s="773" t="str">
        <f t="shared" si="489"/>
        <v>N</v>
      </c>
      <c r="O369" s="773"/>
      <c r="P369" s="773" t="str">
        <f t="shared" ref="P369:AC369" si="490">P355</f>
        <v>A</v>
      </c>
      <c r="Q369" s="773" t="str">
        <f t="shared" si="490"/>
        <v>A</v>
      </c>
      <c r="R369" s="773" t="str">
        <f t="shared" si="490"/>
        <v>A</v>
      </c>
      <c r="S369" s="773" t="str">
        <f t="shared" si="490"/>
        <v>A</v>
      </c>
      <c r="T369" s="773" t="str">
        <f t="shared" si="490"/>
        <v>A</v>
      </c>
      <c r="U369" s="773" t="str">
        <f t="shared" si="490"/>
        <v>A</v>
      </c>
      <c r="V369" s="773" t="str">
        <f t="shared" si="490"/>
        <v>A</v>
      </c>
      <c r="W369" s="773" t="str">
        <f t="shared" si="490"/>
        <v>A</v>
      </c>
      <c r="X369" s="773" t="str">
        <f t="shared" si="490"/>
        <v>A</v>
      </c>
      <c r="Y369" s="773" t="str">
        <f t="shared" si="490"/>
        <v>A</v>
      </c>
      <c r="Z369" s="773" t="str">
        <f t="shared" si="490"/>
        <v>A</v>
      </c>
      <c r="AA369" s="773" t="str">
        <f t="shared" si="490"/>
        <v>A</v>
      </c>
      <c r="AB369" s="773" t="str">
        <f t="shared" si="490"/>
        <v>A</v>
      </c>
      <c r="AC369" s="773" t="str">
        <f t="shared" si="490"/>
        <v>A</v>
      </c>
      <c r="AD369" s="876"/>
      <c r="AE369" s="863"/>
      <c r="AF369" s="870"/>
      <c r="AG369" s="1019"/>
      <c r="AH369" s="802"/>
      <c r="AI369" s="803"/>
    </row>
    <row r="370" spans="1:51" hidden="1" outlineLevel="1" x14ac:dyDescent="0.3">
      <c r="A370" s="159"/>
      <c r="B370" s="1191"/>
      <c r="C370" s="735" t="str">
        <f>'Optimalizačné opatrenia'!$B$7</f>
        <v>Automatizácia</v>
      </c>
      <c r="D370" s="788" t="str">
        <f t="shared" si="480"/>
        <v>N</v>
      </c>
      <c r="E370" s="773" t="str">
        <f t="shared" si="480"/>
        <v>A</v>
      </c>
      <c r="F370" s="773" t="str">
        <f t="shared" si="480"/>
        <v>A</v>
      </c>
      <c r="G370" s="773" t="str">
        <f t="shared" si="480"/>
        <v>A</v>
      </c>
      <c r="H370" s="773"/>
      <c r="I370" s="773"/>
      <c r="J370" s="773"/>
      <c r="K370" s="773"/>
      <c r="L370" s="773" t="str">
        <f t="shared" ref="L370:N370" si="491">L356</f>
        <v>A</v>
      </c>
      <c r="M370" s="773" t="str">
        <f t="shared" si="491"/>
        <v>N</v>
      </c>
      <c r="N370" s="773" t="str">
        <f t="shared" si="491"/>
        <v>N</v>
      </c>
      <c r="O370" s="773"/>
      <c r="P370" s="773" t="str">
        <f t="shared" ref="P370:AC370" si="492">P356</f>
        <v>A</v>
      </c>
      <c r="Q370" s="773" t="str">
        <f t="shared" si="492"/>
        <v>A</v>
      </c>
      <c r="R370" s="773" t="str">
        <f t="shared" si="492"/>
        <v>A</v>
      </c>
      <c r="S370" s="773" t="str">
        <f t="shared" si="492"/>
        <v>A</v>
      </c>
      <c r="T370" s="773" t="str">
        <f t="shared" si="492"/>
        <v>A</v>
      </c>
      <c r="U370" s="773" t="str">
        <f t="shared" si="492"/>
        <v>A</v>
      </c>
      <c r="V370" s="773" t="str">
        <f t="shared" si="492"/>
        <v>A</v>
      </c>
      <c r="W370" s="773" t="str">
        <f t="shared" si="492"/>
        <v>A</v>
      </c>
      <c r="X370" s="773" t="str">
        <f t="shared" si="492"/>
        <v>A</v>
      </c>
      <c r="Y370" s="773" t="str">
        <f t="shared" si="492"/>
        <v>A</v>
      </c>
      <c r="Z370" s="773" t="str">
        <f t="shared" si="492"/>
        <v>A</v>
      </c>
      <c r="AA370" s="773" t="str">
        <f t="shared" si="492"/>
        <v>A</v>
      </c>
      <c r="AB370" s="773" t="str">
        <f t="shared" si="492"/>
        <v>A</v>
      </c>
      <c r="AC370" s="773" t="str">
        <f t="shared" si="492"/>
        <v>A</v>
      </c>
      <c r="AD370" s="876"/>
      <c r="AE370" s="863"/>
      <c r="AF370" s="870"/>
      <c r="AG370" s="1019"/>
      <c r="AH370" s="802"/>
      <c r="AI370" s="803"/>
    </row>
    <row r="371" spans="1:51" hidden="1" outlineLevel="1" x14ac:dyDescent="0.3">
      <c r="A371" s="159"/>
      <c r="B371" s="1191"/>
      <c r="C371" s="735" t="str">
        <f>'Optimalizačné opatrenia'!$B$8</f>
        <v>Bezpečnosť</v>
      </c>
      <c r="D371" s="788" t="str">
        <f t="shared" si="480"/>
        <v>N</v>
      </c>
      <c r="E371" s="773" t="str">
        <f t="shared" si="480"/>
        <v>N</v>
      </c>
      <c r="F371" s="773" t="str">
        <f t="shared" si="480"/>
        <v>A</v>
      </c>
      <c r="G371" s="773" t="str">
        <f t="shared" si="480"/>
        <v>A</v>
      </c>
      <c r="H371" s="773"/>
      <c r="I371" s="773"/>
      <c r="J371" s="773"/>
      <c r="K371" s="773"/>
      <c r="L371" s="773" t="str">
        <f t="shared" ref="L371:N371" si="493">L357</f>
        <v>A</v>
      </c>
      <c r="M371" s="773" t="str">
        <f t="shared" si="493"/>
        <v>N</v>
      </c>
      <c r="N371" s="773" t="str">
        <f t="shared" si="493"/>
        <v>N</v>
      </c>
      <c r="O371" s="773"/>
      <c r="P371" s="773" t="str">
        <f t="shared" ref="P371:AC371" si="494">P357</f>
        <v>A</v>
      </c>
      <c r="Q371" s="773" t="str">
        <f t="shared" si="494"/>
        <v>A</v>
      </c>
      <c r="R371" s="773" t="str">
        <f t="shared" si="494"/>
        <v>A</v>
      </c>
      <c r="S371" s="773" t="str">
        <f t="shared" si="494"/>
        <v>A</v>
      </c>
      <c r="T371" s="773" t="str">
        <f t="shared" si="494"/>
        <v>A</v>
      </c>
      <c r="U371" s="773" t="str">
        <f t="shared" si="494"/>
        <v>A</v>
      </c>
      <c r="V371" s="773" t="str">
        <f t="shared" si="494"/>
        <v>A</v>
      </c>
      <c r="W371" s="773" t="str">
        <f t="shared" si="494"/>
        <v>A</v>
      </c>
      <c r="X371" s="773" t="str">
        <f t="shared" si="494"/>
        <v>A</v>
      </c>
      <c r="Y371" s="773" t="str">
        <f t="shared" si="494"/>
        <v>A</v>
      </c>
      <c r="Z371" s="773" t="str">
        <f t="shared" si="494"/>
        <v>A</v>
      </c>
      <c r="AA371" s="773" t="str">
        <f t="shared" si="494"/>
        <v>A</v>
      </c>
      <c r="AB371" s="773" t="str">
        <f t="shared" si="494"/>
        <v>A</v>
      </c>
      <c r="AC371" s="773" t="str">
        <f t="shared" si="494"/>
        <v>A</v>
      </c>
      <c r="AD371" s="876"/>
      <c r="AE371" s="863"/>
      <c r="AF371" s="870"/>
      <c r="AG371" s="1019"/>
      <c r="AH371" s="802"/>
      <c r="AI371" s="803"/>
    </row>
    <row r="372" spans="1:51" hidden="1" outlineLevel="1" x14ac:dyDescent="0.3">
      <c r="A372" s="159"/>
      <c r="B372" s="1191"/>
      <c r="C372" s="735" t="str">
        <f>'Optimalizačné opatrenia'!$B$9</f>
        <v>Auditovateľnosť</v>
      </c>
      <c r="D372" s="788" t="str">
        <f t="shared" si="480"/>
        <v>N</v>
      </c>
      <c r="E372" s="773" t="str">
        <f t="shared" si="480"/>
        <v>A</v>
      </c>
      <c r="F372" s="773" t="str">
        <f t="shared" si="480"/>
        <v>A</v>
      </c>
      <c r="G372" s="773" t="str">
        <f t="shared" si="480"/>
        <v>A</v>
      </c>
      <c r="H372" s="773"/>
      <c r="I372" s="773"/>
      <c r="J372" s="773"/>
      <c r="K372" s="773"/>
      <c r="L372" s="773" t="str">
        <f t="shared" ref="L372:N372" si="495">L358</f>
        <v>A</v>
      </c>
      <c r="M372" s="773" t="str">
        <f t="shared" si="495"/>
        <v>N</v>
      </c>
      <c r="N372" s="773" t="str">
        <f t="shared" si="495"/>
        <v>N</v>
      </c>
      <c r="O372" s="773"/>
      <c r="P372" s="773" t="str">
        <f t="shared" ref="P372:AC372" si="496">P358</f>
        <v>A</v>
      </c>
      <c r="Q372" s="773" t="str">
        <f t="shared" si="496"/>
        <v>A</v>
      </c>
      <c r="R372" s="773" t="str">
        <f t="shared" si="496"/>
        <v>A</v>
      </c>
      <c r="S372" s="773" t="str">
        <f t="shared" si="496"/>
        <v>A</v>
      </c>
      <c r="T372" s="773" t="str">
        <f t="shared" si="496"/>
        <v>A</v>
      </c>
      <c r="U372" s="773" t="str">
        <f t="shared" si="496"/>
        <v>A</v>
      </c>
      <c r="V372" s="773" t="str">
        <f t="shared" si="496"/>
        <v>A</v>
      </c>
      <c r="W372" s="773" t="str">
        <f t="shared" si="496"/>
        <v>A</v>
      </c>
      <c r="X372" s="773" t="str">
        <f t="shared" si="496"/>
        <v>A</v>
      </c>
      <c r="Y372" s="773" t="str">
        <f t="shared" si="496"/>
        <v>A</v>
      </c>
      <c r="Z372" s="773" t="str">
        <f t="shared" si="496"/>
        <v>A</v>
      </c>
      <c r="AA372" s="773" t="str">
        <f t="shared" si="496"/>
        <v>A</v>
      </c>
      <c r="AB372" s="773" t="str">
        <f t="shared" si="496"/>
        <v>A</v>
      </c>
      <c r="AC372" s="773" t="str">
        <f t="shared" si="496"/>
        <v>A</v>
      </c>
      <c r="AD372" s="876"/>
      <c r="AE372" s="863"/>
      <c r="AF372" s="870"/>
      <c r="AG372" s="1019"/>
      <c r="AH372" s="802"/>
      <c r="AI372" s="803"/>
    </row>
    <row r="373" spans="1:51" hidden="1" outlineLevel="1" x14ac:dyDescent="0.3">
      <c r="A373" s="159"/>
      <c r="B373" s="1191"/>
      <c r="C373" s="735" t="str">
        <f>'Optimalizačné opatrenia'!$B$10</f>
        <v>Transparentnosť</v>
      </c>
      <c r="D373" s="788" t="str">
        <f t="shared" si="480"/>
        <v>N</v>
      </c>
      <c r="E373" s="773" t="str">
        <f t="shared" si="480"/>
        <v>N</v>
      </c>
      <c r="F373" s="773" t="str">
        <f t="shared" si="480"/>
        <v>N</v>
      </c>
      <c r="G373" s="773" t="str">
        <f t="shared" si="480"/>
        <v>N</v>
      </c>
      <c r="H373" s="773"/>
      <c r="I373" s="773"/>
      <c r="J373" s="773"/>
      <c r="K373" s="773"/>
      <c r="L373" s="773" t="str">
        <f t="shared" ref="L373:N373" si="497">L359</f>
        <v>N</v>
      </c>
      <c r="M373" s="773" t="str">
        <f t="shared" si="497"/>
        <v>N</v>
      </c>
      <c r="N373" s="773" t="str">
        <f t="shared" si="497"/>
        <v>N</v>
      </c>
      <c r="O373" s="773"/>
      <c r="P373" s="773" t="str">
        <f t="shared" ref="P373:AC373" si="498">P359</f>
        <v>A</v>
      </c>
      <c r="Q373" s="773" t="str">
        <f t="shared" si="498"/>
        <v>N</v>
      </c>
      <c r="R373" s="773" t="str">
        <f t="shared" si="498"/>
        <v>N</v>
      </c>
      <c r="S373" s="773" t="str">
        <f t="shared" si="498"/>
        <v>N</v>
      </c>
      <c r="T373" s="773" t="str">
        <f t="shared" si="498"/>
        <v>N</v>
      </c>
      <c r="U373" s="773" t="str">
        <f t="shared" si="498"/>
        <v>N</v>
      </c>
      <c r="V373" s="773" t="str">
        <f t="shared" si="498"/>
        <v>A</v>
      </c>
      <c r="W373" s="773" t="str">
        <f t="shared" si="498"/>
        <v>N</v>
      </c>
      <c r="X373" s="773" t="str">
        <f t="shared" si="498"/>
        <v>N</v>
      </c>
      <c r="Y373" s="773" t="str">
        <f t="shared" si="498"/>
        <v>N</v>
      </c>
      <c r="Z373" s="773" t="str">
        <f t="shared" si="498"/>
        <v>N</v>
      </c>
      <c r="AA373" s="773" t="str">
        <f t="shared" si="498"/>
        <v>A</v>
      </c>
      <c r="AB373" s="773" t="str">
        <f t="shared" si="498"/>
        <v>N</v>
      </c>
      <c r="AC373" s="773" t="str">
        <f t="shared" si="498"/>
        <v>N</v>
      </c>
      <c r="AD373" s="876"/>
      <c r="AE373" s="863"/>
      <c r="AF373" s="870"/>
      <c r="AG373" s="1019"/>
      <c r="AH373" s="802"/>
      <c r="AI373" s="803"/>
    </row>
    <row r="374" spans="1:51" hidden="1" outlineLevel="1" x14ac:dyDescent="0.3">
      <c r="A374" s="159"/>
      <c r="B374" s="1191"/>
      <c r="C374" s="735" t="str">
        <f>'Optimalizačné opatrenia'!$B$11</f>
        <v>Analyzovatelnosť</v>
      </c>
      <c r="D374" s="788" t="str">
        <f t="shared" si="480"/>
        <v>N</v>
      </c>
      <c r="E374" s="773" t="str">
        <f t="shared" si="480"/>
        <v>N</v>
      </c>
      <c r="F374" s="773" t="str">
        <f t="shared" si="480"/>
        <v>A</v>
      </c>
      <c r="G374" s="773" t="str">
        <f t="shared" si="480"/>
        <v>A</v>
      </c>
      <c r="H374" s="773"/>
      <c r="I374" s="773"/>
      <c r="J374" s="773"/>
      <c r="K374" s="773"/>
      <c r="L374" s="773" t="str">
        <f t="shared" ref="L374:N374" si="499">L360</f>
        <v>A</v>
      </c>
      <c r="M374" s="773" t="str">
        <f t="shared" si="499"/>
        <v>N</v>
      </c>
      <c r="N374" s="773" t="str">
        <f t="shared" si="499"/>
        <v>N</v>
      </c>
      <c r="O374" s="773"/>
      <c r="P374" s="773" t="str">
        <f t="shared" ref="P374:AC374" si="500">P360</f>
        <v>A</v>
      </c>
      <c r="Q374" s="773" t="str">
        <f t="shared" si="500"/>
        <v>A</v>
      </c>
      <c r="R374" s="773" t="str">
        <f t="shared" si="500"/>
        <v>A</v>
      </c>
      <c r="S374" s="773" t="str">
        <f t="shared" si="500"/>
        <v>A</v>
      </c>
      <c r="T374" s="773" t="str">
        <f t="shared" si="500"/>
        <v>A</v>
      </c>
      <c r="U374" s="773" t="str">
        <f t="shared" si="500"/>
        <v>A</v>
      </c>
      <c r="V374" s="773" t="str">
        <f t="shared" si="500"/>
        <v>A</v>
      </c>
      <c r="W374" s="773" t="str">
        <f t="shared" si="500"/>
        <v>A</v>
      </c>
      <c r="X374" s="773" t="str">
        <f t="shared" si="500"/>
        <v>A</v>
      </c>
      <c r="Y374" s="773" t="str">
        <f t="shared" si="500"/>
        <v>A</v>
      </c>
      <c r="Z374" s="773" t="str">
        <f t="shared" si="500"/>
        <v>A</v>
      </c>
      <c r="AA374" s="773" t="str">
        <f t="shared" si="500"/>
        <v>A</v>
      </c>
      <c r="AB374" s="773" t="str">
        <f t="shared" si="500"/>
        <v>A</v>
      </c>
      <c r="AC374" s="773" t="str">
        <f t="shared" si="500"/>
        <v>A</v>
      </c>
      <c r="AD374" s="876"/>
      <c r="AE374" s="863"/>
      <c r="AF374" s="870"/>
      <c r="AG374" s="1019"/>
      <c r="AH374" s="802"/>
      <c r="AI374" s="803"/>
    </row>
    <row r="375" spans="1:51" hidden="1" outlineLevel="1" x14ac:dyDescent="0.3">
      <c r="A375" s="159"/>
      <c r="B375" s="1191"/>
      <c r="C375" s="735" t="str">
        <f>'Optimalizačné opatrenia'!$B$12</f>
        <v>Integrácia</v>
      </c>
      <c r="D375" s="788" t="str">
        <f t="shared" si="480"/>
        <v>N</v>
      </c>
      <c r="E375" s="773" t="str">
        <f t="shared" si="480"/>
        <v>A</v>
      </c>
      <c r="F375" s="773" t="str">
        <f t="shared" si="480"/>
        <v>A</v>
      </c>
      <c r="G375" s="773" t="str">
        <f t="shared" si="480"/>
        <v>A</v>
      </c>
      <c r="H375" s="773"/>
      <c r="I375" s="773"/>
      <c r="J375" s="773"/>
      <c r="K375" s="773"/>
      <c r="L375" s="773" t="str">
        <f t="shared" ref="L375:N375" si="501">L361</f>
        <v>A</v>
      </c>
      <c r="M375" s="773" t="str">
        <f t="shared" si="501"/>
        <v>N</v>
      </c>
      <c r="N375" s="773" t="str">
        <f t="shared" si="501"/>
        <v>N</v>
      </c>
      <c r="O375" s="773"/>
      <c r="P375" s="773" t="str">
        <f t="shared" ref="P375:AC375" si="502">P361</f>
        <v>A</v>
      </c>
      <c r="Q375" s="773" t="str">
        <f t="shared" si="502"/>
        <v>A</v>
      </c>
      <c r="R375" s="773" t="str">
        <f t="shared" si="502"/>
        <v>A</v>
      </c>
      <c r="S375" s="773" t="str">
        <f t="shared" si="502"/>
        <v>A</v>
      </c>
      <c r="T375" s="773" t="str">
        <f t="shared" si="502"/>
        <v>A</v>
      </c>
      <c r="U375" s="773" t="str">
        <f t="shared" si="502"/>
        <v>A</v>
      </c>
      <c r="V375" s="773" t="str">
        <f t="shared" si="502"/>
        <v>A</v>
      </c>
      <c r="W375" s="773" t="str">
        <f t="shared" si="502"/>
        <v>A</v>
      </c>
      <c r="X375" s="773" t="str">
        <f t="shared" si="502"/>
        <v>A</v>
      </c>
      <c r="Y375" s="773" t="str">
        <f t="shared" si="502"/>
        <v>A</v>
      </c>
      <c r="Z375" s="773" t="str">
        <f t="shared" si="502"/>
        <v>A</v>
      </c>
      <c r="AA375" s="773" t="str">
        <f t="shared" si="502"/>
        <v>A</v>
      </c>
      <c r="AB375" s="773" t="str">
        <f t="shared" si="502"/>
        <v>A</v>
      </c>
      <c r="AC375" s="773" t="str">
        <f t="shared" si="502"/>
        <v>A</v>
      </c>
      <c r="AD375" s="876"/>
      <c r="AE375" s="863"/>
      <c r="AF375" s="870"/>
      <c r="AG375" s="1019"/>
      <c r="AH375" s="802"/>
      <c r="AI375" s="803"/>
    </row>
    <row r="376" spans="1:51" hidden="1" outlineLevel="1" x14ac:dyDescent="0.3">
      <c r="A376" s="159"/>
      <c r="B376" s="1191"/>
      <c r="C376" s="740" t="str">
        <f>'Optimalizačné opatrenia'!$B$13</f>
        <v>Proaktivita</v>
      </c>
      <c r="D376" s="788" t="str">
        <f t="shared" si="480"/>
        <v>N</v>
      </c>
      <c r="E376" s="773" t="str">
        <f t="shared" si="480"/>
        <v>N</v>
      </c>
      <c r="F376" s="773" t="str">
        <f t="shared" si="480"/>
        <v>A</v>
      </c>
      <c r="G376" s="773" t="str">
        <f t="shared" si="480"/>
        <v>N</v>
      </c>
      <c r="H376" s="773"/>
      <c r="I376" s="773"/>
      <c r="J376" s="773"/>
      <c r="K376" s="773"/>
      <c r="L376" s="773" t="str">
        <f t="shared" ref="L376:N376" si="503">L362</f>
        <v>A</v>
      </c>
      <c r="M376" s="773" t="str">
        <f t="shared" si="503"/>
        <v>N</v>
      </c>
      <c r="N376" s="773" t="str">
        <f t="shared" si="503"/>
        <v>N</v>
      </c>
      <c r="O376" s="773"/>
      <c r="P376" s="773" t="str">
        <f t="shared" ref="P376:AC376" si="504">P362</f>
        <v>N</v>
      </c>
      <c r="Q376" s="773" t="str">
        <f t="shared" si="504"/>
        <v>N</v>
      </c>
      <c r="R376" s="773" t="str">
        <f t="shared" si="504"/>
        <v>A</v>
      </c>
      <c r="S376" s="773" t="str">
        <f t="shared" si="504"/>
        <v>A</v>
      </c>
      <c r="T376" s="773" t="str">
        <f t="shared" si="504"/>
        <v>A</v>
      </c>
      <c r="U376" s="773" t="str">
        <f t="shared" si="504"/>
        <v>N</v>
      </c>
      <c r="V376" s="773" t="str">
        <f t="shared" si="504"/>
        <v>A</v>
      </c>
      <c r="W376" s="773" t="str">
        <f t="shared" si="504"/>
        <v>N</v>
      </c>
      <c r="X376" s="773" t="str">
        <f t="shared" si="504"/>
        <v>N</v>
      </c>
      <c r="Y376" s="773" t="str">
        <f t="shared" si="504"/>
        <v>A</v>
      </c>
      <c r="Z376" s="773" t="str">
        <f t="shared" si="504"/>
        <v>A</v>
      </c>
      <c r="AA376" s="773" t="str">
        <f t="shared" si="504"/>
        <v>A</v>
      </c>
      <c r="AB376" s="773" t="str">
        <f t="shared" si="504"/>
        <v>N</v>
      </c>
      <c r="AC376" s="773" t="str">
        <f t="shared" si="504"/>
        <v>A</v>
      </c>
      <c r="AD376" s="876"/>
      <c r="AE376" s="863"/>
      <c r="AF376" s="870"/>
      <c r="AG376" s="1019"/>
      <c r="AH376" s="802"/>
      <c r="AI376" s="803"/>
    </row>
    <row r="377" spans="1:51" hidden="1" outlineLevel="1" x14ac:dyDescent="0.3">
      <c r="A377" s="159"/>
      <c r="B377" s="790"/>
      <c r="C377" s="792" t="s">
        <v>550</v>
      </c>
      <c r="D377" s="793">
        <f t="shared" si="480"/>
        <v>0</v>
      </c>
      <c r="E377" s="791">
        <f t="shared" si="480"/>
        <v>0.2</v>
      </c>
      <c r="F377" s="794">
        <f t="shared" si="480"/>
        <v>0.4</v>
      </c>
      <c r="G377" s="794">
        <f t="shared" si="480"/>
        <v>0.3</v>
      </c>
      <c r="H377" s="794"/>
      <c r="I377" s="794"/>
      <c r="J377" s="794"/>
      <c r="K377" s="794"/>
      <c r="L377" s="794">
        <f t="shared" ref="L377:N377" si="505">L363</f>
        <v>0.4</v>
      </c>
      <c r="M377" s="794">
        <f t="shared" si="505"/>
        <v>0</v>
      </c>
      <c r="N377" s="794">
        <f t="shared" si="505"/>
        <v>0</v>
      </c>
      <c r="O377" s="794"/>
      <c r="P377" s="794">
        <f t="shared" ref="P377:AC377" si="506">P363</f>
        <v>0.45</v>
      </c>
      <c r="Q377" s="794">
        <f t="shared" si="506"/>
        <v>0.3</v>
      </c>
      <c r="R377" s="794">
        <f t="shared" si="506"/>
        <v>0.4</v>
      </c>
      <c r="S377" s="794">
        <f t="shared" si="506"/>
        <v>0.4</v>
      </c>
      <c r="T377" s="794">
        <f t="shared" si="506"/>
        <v>0.4</v>
      </c>
      <c r="U377" s="794">
        <f t="shared" si="506"/>
        <v>0.3</v>
      </c>
      <c r="V377" s="794">
        <f t="shared" si="506"/>
        <v>0.5</v>
      </c>
      <c r="W377" s="794">
        <f t="shared" si="506"/>
        <v>0.3</v>
      </c>
      <c r="X377" s="794">
        <f t="shared" si="506"/>
        <v>0.3</v>
      </c>
      <c r="Y377" s="794">
        <f t="shared" si="506"/>
        <v>0.4</v>
      </c>
      <c r="Z377" s="794">
        <f t="shared" si="506"/>
        <v>0.4</v>
      </c>
      <c r="AA377" s="794">
        <f t="shared" si="506"/>
        <v>0.5</v>
      </c>
      <c r="AB377" s="794">
        <f t="shared" si="506"/>
        <v>0.3</v>
      </c>
      <c r="AC377" s="794">
        <f t="shared" si="506"/>
        <v>0.4</v>
      </c>
      <c r="AD377" s="877"/>
      <c r="AE377" s="864"/>
      <c r="AF377" s="871"/>
      <c r="AG377" s="1020"/>
      <c r="AH377" s="805"/>
      <c r="AI377" s="806"/>
    </row>
    <row r="378" spans="1:51" ht="35.4" customHeight="1" collapsed="1" x14ac:dyDescent="0.3">
      <c r="A378" s="159">
        <f ca="1">OFFSET(A378,-14,0)+1</f>
        <v>27</v>
      </c>
      <c r="B378" s="1013" t="str">
        <f ca="1">'Procesy - AS IS'!B92</f>
        <v>Meranie č. 27</v>
      </c>
      <c r="C378" s="739" t="str">
        <f>'Procesy - AS IS'!C92</f>
        <v>Farma Majcikov, Používanie GT a GMO zámerným uvoľňovaním, 6121/2018</v>
      </c>
      <c r="D378" s="796">
        <f>-'Procesy - AS IS'!D94*D391</f>
        <v>0</v>
      </c>
      <c r="E378" s="721">
        <f>-'Procesy - AS IS'!E94*E391</f>
        <v>-1.6</v>
      </c>
      <c r="F378" s="721">
        <f>-'Procesy - AS IS'!F94*F391</f>
        <v>-3.2</v>
      </c>
      <c r="G378" s="721">
        <f>-'Procesy - AS IS'!G94*G391</f>
        <v>-1.2</v>
      </c>
      <c r="H378" s="721" t="s">
        <v>568</v>
      </c>
      <c r="I378" s="721" t="s">
        <v>568</v>
      </c>
      <c r="J378" s="721" t="s">
        <v>568</v>
      </c>
      <c r="K378" s="721" t="s">
        <v>568</v>
      </c>
      <c r="L378" s="721">
        <f>-'Procesy - AS IS'!L94*L391</f>
        <v>-1.6</v>
      </c>
      <c r="M378" s="721">
        <f>-'Procesy - AS IS'!M94*M391</f>
        <v>0</v>
      </c>
      <c r="N378" s="721" t="s">
        <v>570</v>
      </c>
      <c r="O378" s="721" t="s">
        <v>572</v>
      </c>
      <c r="P378" s="721">
        <f>-'Procesy - AS IS'!P94*P391</f>
        <v>-1.8</v>
      </c>
      <c r="Q378" s="721">
        <f>-'Procesy - AS IS'!Q94*Q391</f>
        <v>0</v>
      </c>
      <c r="R378" s="721">
        <f>-'Procesy - AS IS'!R94*R391</f>
        <v>0</v>
      </c>
      <c r="S378" s="721">
        <f>-'Procesy - AS IS'!S94*S391</f>
        <v>-5.5017543859649125</v>
      </c>
      <c r="T378" s="721">
        <f>-'Procesy - AS IS'!T94*T391</f>
        <v>0</v>
      </c>
      <c r="U378" s="721">
        <f>-'Procesy - AS IS'!U94*U391</f>
        <v>0</v>
      </c>
      <c r="V378" s="721">
        <f>-'Procesy - AS IS'!V94*V391</f>
        <v>-2</v>
      </c>
      <c r="W378" s="721">
        <f>-'Procesy - AS IS'!W94*W391</f>
        <v>0</v>
      </c>
      <c r="X378" s="721">
        <f>-'Procesy - AS IS'!X94*X391</f>
        <v>0</v>
      </c>
      <c r="Y378" s="721">
        <f>-'Procesy - AS IS'!Y94*Y391</f>
        <v>0</v>
      </c>
      <c r="Z378" s="721">
        <f>-'Procesy - AS IS'!Z94*Z391</f>
        <v>0</v>
      </c>
      <c r="AA378" s="721">
        <f>-'Procesy - AS IS'!AA94*AA391</f>
        <v>0</v>
      </c>
      <c r="AB378" s="721">
        <f>-'Procesy - AS IS'!AB94*AB391</f>
        <v>0</v>
      </c>
      <c r="AC378" s="721">
        <f>-'Procesy - AS IS'!AC94*AC391</f>
        <v>0</v>
      </c>
      <c r="AD378" s="824">
        <f>SUM(D378:AC378)</f>
        <v>-16.901754385964914</v>
      </c>
      <c r="AE378" s="798">
        <f>AD378/'Procesy - AS IS'!AD94</f>
        <v>-0.36940184049079755</v>
      </c>
      <c r="AF378" s="869">
        <f>('Procesy - AS IS'!AG91/(1+$AE378)-'Procesy - AS IS'!AG91)/2</f>
        <v>33.390368478657422</v>
      </c>
      <c r="AG378" s="1018">
        <f>('Procesy - AS IS'!AH91/(1+$AE378)-'Procesy - AS IS'!AH91)/2</f>
        <v>4.6863675057764791</v>
      </c>
      <c r="AH378" s="800">
        <f>('Procesy - AS IS'!AI91/(1+$AE378)-'Procesy - AS IS'!AI91)/2</f>
        <v>0</v>
      </c>
      <c r="AI378" s="801">
        <f>('Procesy - AS IS'!AJ91/(1+$AE378)-'Procesy - AS IS'!AJ91)/2</f>
        <v>0</v>
      </c>
      <c r="AK378" s="232"/>
      <c r="AY378" s="227"/>
    </row>
    <row r="379" spans="1:51" hidden="1" outlineLevel="1" x14ac:dyDescent="0.3">
      <c r="A379" s="159"/>
      <c r="B379" s="1190" t="s">
        <v>540</v>
      </c>
      <c r="C379" s="735" t="str">
        <f>'Optimalizačné opatrenia'!$B$2</f>
        <v>Modernizácia</v>
      </c>
      <c r="D379" s="788" t="str">
        <f t="shared" ref="D379:G379" si="507">D365</f>
        <v>N</v>
      </c>
      <c r="E379" s="773" t="str">
        <f t="shared" si="507"/>
        <v>A</v>
      </c>
      <c r="F379" s="773" t="str">
        <f t="shared" si="507"/>
        <v>A</v>
      </c>
      <c r="G379" s="773" t="str">
        <f t="shared" si="507"/>
        <v>A</v>
      </c>
      <c r="H379" s="773"/>
      <c r="I379" s="773"/>
      <c r="J379" s="773"/>
      <c r="K379" s="773"/>
      <c r="L379" s="773" t="str">
        <f t="shared" ref="L379:N379" si="508">L365</f>
        <v>A</v>
      </c>
      <c r="M379" s="773" t="str">
        <f t="shared" si="508"/>
        <v>N</v>
      </c>
      <c r="N379" s="773" t="str">
        <f t="shared" si="508"/>
        <v>N</v>
      </c>
      <c r="O379" s="773"/>
      <c r="P379" s="773" t="str">
        <f t="shared" ref="P379:AC379" si="509">P365</f>
        <v>A</v>
      </c>
      <c r="Q379" s="773" t="str">
        <f t="shared" si="509"/>
        <v>A</v>
      </c>
      <c r="R379" s="773" t="str">
        <f t="shared" si="509"/>
        <v>A</v>
      </c>
      <c r="S379" s="773" t="str">
        <f t="shared" si="509"/>
        <v>A</v>
      </c>
      <c r="T379" s="773" t="str">
        <f t="shared" si="509"/>
        <v>A</v>
      </c>
      <c r="U379" s="773" t="str">
        <f t="shared" si="509"/>
        <v>A</v>
      </c>
      <c r="V379" s="773" t="str">
        <f t="shared" si="509"/>
        <v>A</v>
      </c>
      <c r="W379" s="773" t="str">
        <f t="shared" si="509"/>
        <v>A</v>
      </c>
      <c r="X379" s="773" t="str">
        <f t="shared" si="509"/>
        <v>A</v>
      </c>
      <c r="Y379" s="773" t="str">
        <f t="shared" si="509"/>
        <v>A</v>
      </c>
      <c r="Z379" s="773" t="str">
        <f t="shared" si="509"/>
        <v>A</v>
      </c>
      <c r="AA379" s="773" t="str">
        <f t="shared" si="509"/>
        <v>A</v>
      </c>
      <c r="AB379" s="773" t="str">
        <f t="shared" si="509"/>
        <v>A</v>
      </c>
      <c r="AC379" s="773" t="str">
        <f t="shared" si="509"/>
        <v>A</v>
      </c>
      <c r="AD379" s="876"/>
      <c r="AE379" s="863"/>
      <c r="AF379" s="870"/>
      <c r="AG379" s="1019"/>
      <c r="AH379" s="802"/>
      <c r="AI379" s="803"/>
    </row>
    <row r="380" spans="1:51" hidden="1" outlineLevel="1" x14ac:dyDescent="0.3">
      <c r="A380" s="159"/>
      <c r="B380" s="1191"/>
      <c r="C380" s="735" t="str">
        <f>'Optimalizačné opatrenia'!$B$3</f>
        <v>Sfunkčnenie</v>
      </c>
      <c r="D380" s="788" t="str">
        <f t="shared" ref="D380:G380" si="510">D366</f>
        <v>N</v>
      </c>
      <c r="E380" s="773" t="str">
        <f t="shared" si="510"/>
        <v>N</v>
      </c>
      <c r="F380" s="773" t="str">
        <f t="shared" si="510"/>
        <v>N</v>
      </c>
      <c r="G380" s="773" t="str">
        <f t="shared" si="510"/>
        <v>N</v>
      </c>
      <c r="H380" s="773"/>
      <c r="I380" s="773"/>
      <c r="J380" s="773"/>
      <c r="K380" s="773"/>
      <c r="L380" s="773" t="str">
        <f t="shared" ref="L380:N380" si="511">L366</f>
        <v>N</v>
      </c>
      <c r="M380" s="773" t="str">
        <f t="shared" si="511"/>
        <v>N</v>
      </c>
      <c r="N380" s="773" t="str">
        <f t="shared" si="511"/>
        <v>N</v>
      </c>
      <c r="O380" s="773"/>
      <c r="P380" s="773" t="str">
        <f t="shared" ref="P380:AC380" si="512">P366</f>
        <v>N</v>
      </c>
      <c r="Q380" s="773" t="str">
        <f t="shared" si="512"/>
        <v>N</v>
      </c>
      <c r="R380" s="773" t="str">
        <f t="shared" si="512"/>
        <v>N</v>
      </c>
      <c r="S380" s="773" t="str">
        <f t="shared" si="512"/>
        <v>N</v>
      </c>
      <c r="T380" s="773" t="str">
        <f t="shared" si="512"/>
        <v>N</v>
      </c>
      <c r="U380" s="773" t="str">
        <f t="shared" si="512"/>
        <v>N</v>
      </c>
      <c r="V380" s="773" t="str">
        <f t="shared" si="512"/>
        <v>N</v>
      </c>
      <c r="W380" s="773" t="str">
        <f t="shared" si="512"/>
        <v>N</v>
      </c>
      <c r="X380" s="773" t="str">
        <f t="shared" si="512"/>
        <v>N</v>
      </c>
      <c r="Y380" s="773" t="str">
        <f t="shared" si="512"/>
        <v>N</v>
      </c>
      <c r="Z380" s="773" t="str">
        <f t="shared" si="512"/>
        <v>N</v>
      </c>
      <c r="AA380" s="773" t="str">
        <f t="shared" si="512"/>
        <v>N</v>
      </c>
      <c r="AB380" s="773" t="str">
        <f t="shared" si="512"/>
        <v>N</v>
      </c>
      <c r="AC380" s="773" t="str">
        <f t="shared" si="512"/>
        <v>N</v>
      </c>
      <c r="AD380" s="876"/>
      <c r="AE380" s="863"/>
      <c r="AF380" s="870"/>
      <c r="AG380" s="1019"/>
      <c r="AH380" s="802"/>
      <c r="AI380" s="803"/>
    </row>
    <row r="381" spans="1:51" hidden="1" outlineLevel="1" x14ac:dyDescent="0.3">
      <c r="A381" s="159"/>
      <c r="B381" s="1191"/>
      <c r="C381" s="735" t="str">
        <f>'Optimalizačné opatrenia'!$B$4</f>
        <v>Zjednotenie</v>
      </c>
      <c r="D381" s="788" t="str">
        <f t="shared" ref="D381:G381" si="513">D367</f>
        <v>N</v>
      </c>
      <c r="E381" s="773" t="str">
        <f t="shared" si="513"/>
        <v>N</v>
      </c>
      <c r="F381" s="773" t="str">
        <f t="shared" si="513"/>
        <v>A</v>
      </c>
      <c r="G381" s="773" t="str">
        <f t="shared" si="513"/>
        <v>A</v>
      </c>
      <c r="H381" s="773"/>
      <c r="I381" s="773"/>
      <c r="J381" s="773"/>
      <c r="K381" s="773"/>
      <c r="L381" s="773" t="str">
        <f t="shared" ref="L381:N381" si="514">L367</f>
        <v>A</v>
      </c>
      <c r="M381" s="773" t="str">
        <f t="shared" si="514"/>
        <v>N</v>
      </c>
      <c r="N381" s="773" t="str">
        <f t="shared" si="514"/>
        <v>N</v>
      </c>
      <c r="O381" s="773"/>
      <c r="P381" s="773" t="str">
        <f t="shared" ref="P381:AC381" si="515">P367</f>
        <v>A</v>
      </c>
      <c r="Q381" s="773" t="str">
        <f t="shared" si="515"/>
        <v>A</v>
      </c>
      <c r="R381" s="773" t="str">
        <f t="shared" si="515"/>
        <v>A</v>
      </c>
      <c r="S381" s="773" t="str">
        <f t="shared" si="515"/>
        <v>A</v>
      </c>
      <c r="T381" s="773" t="str">
        <f t="shared" si="515"/>
        <v>A</v>
      </c>
      <c r="U381" s="773" t="str">
        <f t="shared" si="515"/>
        <v>A</v>
      </c>
      <c r="V381" s="773" t="str">
        <f t="shared" si="515"/>
        <v>A</v>
      </c>
      <c r="W381" s="773" t="str">
        <f t="shared" si="515"/>
        <v>A</v>
      </c>
      <c r="X381" s="773" t="str">
        <f t="shared" si="515"/>
        <v>A</v>
      </c>
      <c r="Y381" s="773" t="str">
        <f t="shared" si="515"/>
        <v>A</v>
      </c>
      <c r="Z381" s="773" t="str">
        <f t="shared" si="515"/>
        <v>A</v>
      </c>
      <c r="AA381" s="773" t="str">
        <f t="shared" si="515"/>
        <v>A</v>
      </c>
      <c r="AB381" s="773" t="str">
        <f t="shared" si="515"/>
        <v>A</v>
      </c>
      <c r="AC381" s="773" t="str">
        <f t="shared" si="515"/>
        <v>A</v>
      </c>
      <c r="AD381" s="876"/>
      <c r="AE381" s="863"/>
      <c r="AF381" s="870"/>
      <c r="AG381" s="1019"/>
      <c r="AH381" s="802"/>
      <c r="AI381" s="803"/>
    </row>
    <row r="382" spans="1:51" hidden="1" outlineLevel="1" x14ac:dyDescent="0.3">
      <c r="A382" s="159"/>
      <c r="B382" s="1191"/>
      <c r="C382" s="735" t="str">
        <f>'Optimalizačné opatrenia'!$B$5</f>
        <v>Centralizácia</v>
      </c>
      <c r="D382" s="788" t="str">
        <f t="shared" ref="D382:G382" si="516">D368</f>
        <v>N</v>
      </c>
      <c r="E382" s="773" t="str">
        <f t="shared" si="516"/>
        <v>N</v>
      </c>
      <c r="F382" s="773" t="str">
        <f t="shared" si="516"/>
        <v>A</v>
      </c>
      <c r="G382" s="773" t="str">
        <f t="shared" si="516"/>
        <v>A</v>
      </c>
      <c r="H382" s="773"/>
      <c r="I382" s="773"/>
      <c r="J382" s="773"/>
      <c r="K382" s="773"/>
      <c r="L382" s="773" t="str">
        <f t="shared" ref="L382:N382" si="517">L368</f>
        <v>A</v>
      </c>
      <c r="M382" s="773" t="str">
        <f t="shared" si="517"/>
        <v>N</v>
      </c>
      <c r="N382" s="773" t="str">
        <f t="shared" si="517"/>
        <v>N</v>
      </c>
      <c r="O382" s="773"/>
      <c r="P382" s="773" t="str">
        <f t="shared" ref="P382:AC382" si="518">P368</f>
        <v>A</v>
      </c>
      <c r="Q382" s="773" t="str">
        <f t="shared" si="518"/>
        <v>A</v>
      </c>
      <c r="R382" s="773" t="str">
        <f t="shared" si="518"/>
        <v>A</v>
      </c>
      <c r="S382" s="773" t="str">
        <f t="shared" si="518"/>
        <v>A</v>
      </c>
      <c r="T382" s="773" t="str">
        <f t="shared" si="518"/>
        <v>A</v>
      </c>
      <c r="U382" s="773" t="str">
        <f t="shared" si="518"/>
        <v>A</v>
      </c>
      <c r="V382" s="773" t="str">
        <f t="shared" si="518"/>
        <v>A</v>
      </c>
      <c r="W382" s="773" t="str">
        <f t="shared" si="518"/>
        <v>A</v>
      </c>
      <c r="X382" s="773" t="str">
        <f t="shared" si="518"/>
        <v>A</v>
      </c>
      <c r="Y382" s="773" t="str">
        <f t="shared" si="518"/>
        <v>A</v>
      </c>
      <c r="Z382" s="773" t="str">
        <f t="shared" si="518"/>
        <v>A</v>
      </c>
      <c r="AA382" s="773" t="str">
        <f t="shared" si="518"/>
        <v>A</v>
      </c>
      <c r="AB382" s="773" t="str">
        <f t="shared" si="518"/>
        <v>A</v>
      </c>
      <c r="AC382" s="773" t="str">
        <f t="shared" si="518"/>
        <v>A</v>
      </c>
      <c r="AD382" s="876"/>
      <c r="AE382" s="863"/>
      <c r="AF382" s="870"/>
      <c r="AG382" s="1019"/>
      <c r="AH382" s="802"/>
      <c r="AI382" s="803"/>
    </row>
    <row r="383" spans="1:51" hidden="1" outlineLevel="1" x14ac:dyDescent="0.3">
      <c r="A383" s="159"/>
      <c r="B383" s="1191"/>
      <c r="C383" s="735" t="str">
        <f>'Optimalizačné opatrenia'!$B$6</f>
        <v>Elektronizácia</v>
      </c>
      <c r="D383" s="788" t="str">
        <f t="shared" ref="D383:G383" si="519">D369</f>
        <v>N</v>
      </c>
      <c r="E383" s="773" t="str">
        <f t="shared" si="519"/>
        <v>A</v>
      </c>
      <c r="F383" s="773" t="str">
        <f t="shared" si="519"/>
        <v>A</v>
      </c>
      <c r="G383" s="773" t="str">
        <f t="shared" si="519"/>
        <v>A</v>
      </c>
      <c r="H383" s="773"/>
      <c r="I383" s="773"/>
      <c r="J383" s="773"/>
      <c r="K383" s="773"/>
      <c r="L383" s="773" t="str">
        <f t="shared" ref="L383:N383" si="520">L369</f>
        <v>A</v>
      </c>
      <c r="M383" s="773" t="str">
        <f t="shared" si="520"/>
        <v>N</v>
      </c>
      <c r="N383" s="773" t="str">
        <f t="shared" si="520"/>
        <v>N</v>
      </c>
      <c r="O383" s="773"/>
      <c r="P383" s="773" t="str">
        <f t="shared" ref="P383:AC383" si="521">P369</f>
        <v>A</v>
      </c>
      <c r="Q383" s="773" t="str">
        <f t="shared" si="521"/>
        <v>A</v>
      </c>
      <c r="R383" s="773" t="str">
        <f t="shared" si="521"/>
        <v>A</v>
      </c>
      <c r="S383" s="773" t="str">
        <f t="shared" si="521"/>
        <v>A</v>
      </c>
      <c r="T383" s="773" t="str">
        <f t="shared" si="521"/>
        <v>A</v>
      </c>
      <c r="U383" s="773" t="str">
        <f t="shared" si="521"/>
        <v>A</v>
      </c>
      <c r="V383" s="773" t="str">
        <f t="shared" si="521"/>
        <v>A</v>
      </c>
      <c r="W383" s="773" t="str">
        <f t="shared" si="521"/>
        <v>A</v>
      </c>
      <c r="X383" s="773" t="str">
        <f t="shared" si="521"/>
        <v>A</v>
      </c>
      <c r="Y383" s="773" t="str">
        <f t="shared" si="521"/>
        <v>A</v>
      </c>
      <c r="Z383" s="773" t="str">
        <f t="shared" si="521"/>
        <v>A</v>
      </c>
      <c r="AA383" s="773" t="str">
        <f t="shared" si="521"/>
        <v>A</v>
      </c>
      <c r="AB383" s="773" t="str">
        <f t="shared" si="521"/>
        <v>A</v>
      </c>
      <c r="AC383" s="773" t="str">
        <f t="shared" si="521"/>
        <v>A</v>
      </c>
      <c r="AD383" s="876"/>
      <c r="AE383" s="863"/>
      <c r="AF383" s="870"/>
      <c r="AG383" s="1019"/>
      <c r="AH383" s="802"/>
      <c r="AI383" s="803"/>
    </row>
    <row r="384" spans="1:51" hidden="1" outlineLevel="1" x14ac:dyDescent="0.3">
      <c r="A384" s="159"/>
      <c r="B384" s="1191"/>
      <c r="C384" s="735" t="str">
        <f>'Optimalizačné opatrenia'!$B$7</f>
        <v>Automatizácia</v>
      </c>
      <c r="D384" s="788" t="str">
        <f t="shared" ref="D384:G384" si="522">D370</f>
        <v>N</v>
      </c>
      <c r="E384" s="773" t="str">
        <f t="shared" si="522"/>
        <v>A</v>
      </c>
      <c r="F384" s="773" t="str">
        <f t="shared" si="522"/>
        <v>A</v>
      </c>
      <c r="G384" s="773" t="str">
        <f t="shared" si="522"/>
        <v>A</v>
      </c>
      <c r="H384" s="773"/>
      <c r="I384" s="773"/>
      <c r="J384" s="773"/>
      <c r="K384" s="773"/>
      <c r="L384" s="773" t="str">
        <f t="shared" ref="L384:N384" si="523">L370</f>
        <v>A</v>
      </c>
      <c r="M384" s="773" t="str">
        <f t="shared" si="523"/>
        <v>N</v>
      </c>
      <c r="N384" s="773" t="str">
        <f t="shared" si="523"/>
        <v>N</v>
      </c>
      <c r="O384" s="773"/>
      <c r="P384" s="773" t="str">
        <f t="shared" ref="P384:AC384" si="524">P370</f>
        <v>A</v>
      </c>
      <c r="Q384" s="773" t="str">
        <f t="shared" si="524"/>
        <v>A</v>
      </c>
      <c r="R384" s="773" t="str">
        <f t="shared" si="524"/>
        <v>A</v>
      </c>
      <c r="S384" s="773" t="str">
        <f t="shared" si="524"/>
        <v>A</v>
      </c>
      <c r="T384" s="773" t="str">
        <f t="shared" si="524"/>
        <v>A</v>
      </c>
      <c r="U384" s="773" t="str">
        <f t="shared" si="524"/>
        <v>A</v>
      </c>
      <c r="V384" s="773" t="str">
        <f t="shared" si="524"/>
        <v>A</v>
      </c>
      <c r="W384" s="773" t="str">
        <f t="shared" si="524"/>
        <v>A</v>
      </c>
      <c r="X384" s="773" t="str">
        <f t="shared" si="524"/>
        <v>A</v>
      </c>
      <c r="Y384" s="773" t="str">
        <f t="shared" si="524"/>
        <v>A</v>
      </c>
      <c r="Z384" s="773" t="str">
        <f t="shared" si="524"/>
        <v>A</v>
      </c>
      <c r="AA384" s="773" t="str">
        <f t="shared" si="524"/>
        <v>A</v>
      </c>
      <c r="AB384" s="773" t="str">
        <f t="shared" si="524"/>
        <v>A</v>
      </c>
      <c r="AC384" s="773" t="str">
        <f t="shared" si="524"/>
        <v>A</v>
      </c>
      <c r="AD384" s="876"/>
      <c r="AE384" s="863"/>
      <c r="AF384" s="870"/>
      <c r="AG384" s="1019"/>
      <c r="AH384" s="802"/>
      <c r="AI384" s="803"/>
    </row>
    <row r="385" spans="1:51" hidden="1" outlineLevel="1" x14ac:dyDescent="0.3">
      <c r="A385" s="159"/>
      <c r="B385" s="1191"/>
      <c r="C385" s="735" t="str">
        <f>'Optimalizačné opatrenia'!$B$8</f>
        <v>Bezpečnosť</v>
      </c>
      <c r="D385" s="788" t="str">
        <f t="shared" ref="D385:G385" si="525">D371</f>
        <v>N</v>
      </c>
      <c r="E385" s="773" t="str">
        <f t="shared" si="525"/>
        <v>N</v>
      </c>
      <c r="F385" s="773" t="str">
        <f t="shared" si="525"/>
        <v>A</v>
      </c>
      <c r="G385" s="773" t="str">
        <f t="shared" si="525"/>
        <v>A</v>
      </c>
      <c r="H385" s="773"/>
      <c r="I385" s="773"/>
      <c r="J385" s="773"/>
      <c r="K385" s="773"/>
      <c r="L385" s="773" t="str">
        <f t="shared" ref="L385:N385" si="526">L371</f>
        <v>A</v>
      </c>
      <c r="M385" s="773" t="str">
        <f t="shared" si="526"/>
        <v>N</v>
      </c>
      <c r="N385" s="773" t="str">
        <f t="shared" si="526"/>
        <v>N</v>
      </c>
      <c r="O385" s="773"/>
      <c r="P385" s="773" t="str">
        <f t="shared" ref="P385:AC385" si="527">P371</f>
        <v>A</v>
      </c>
      <c r="Q385" s="773" t="str">
        <f t="shared" si="527"/>
        <v>A</v>
      </c>
      <c r="R385" s="773" t="str">
        <f t="shared" si="527"/>
        <v>A</v>
      </c>
      <c r="S385" s="773" t="str">
        <f t="shared" si="527"/>
        <v>A</v>
      </c>
      <c r="T385" s="773" t="str">
        <f t="shared" si="527"/>
        <v>A</v>
      </c>
      <c r="U385" s="773" t="str">
        <f t="shared" si="527"/>
        <v>A</v>
      </c>
      <c r="V385" s="773" t="str">
        <f t="shared" si="527"/>
        <v>A</v>
      </c>
      <c r="W385" s="773" t="str">
        <f t="shared" si="527"/>
        <v>A</v>
      </c>
      <c r="X385" s="773" t="str">
        <f t="shared" si="527"/>
        <v>A</v>
      </c>
      <c r="Y385" s="773" t="str">
        <f t="shared" si="527"/>
        <v>A</v>
      </c>
      <c r="Z385" s="773" t="str">
        <f t="shared" si="527"/>
        <v>A</v>
      </c>
      <c r="AA385" s="773" t="str">
        <f t="shared" si="527"/>
        <v>A</v>
      </c>
      <c r="AB385" s="773" t="str">
        <f t="shared" si="527"/>
        <v>A</v>
      </c>
      <c r="AC385" s="773" t="str">
        <f t="shared" si="527"/>
        <v>A</v>
      </c>
      <c r="AD385" s="876"/>
      <c r="AE385" s="863"/>
      <c r="AF385" s="870"/>
      <c r="AG385" s="1019"/>
      <c r="AH385" s="802"/>
      <c r="AI385" s="803"/>
    </row>
    <row r="386" spans="1:51" hidden="1" outlineLevel="1" x14ac:dyDescent="0.3">
      <c r="A386" s="159"/>
      <c r="B386" s="1191"/>
      <c r="C386" s="735" t="str">
        <f>'Optimalizačné opatrenia'!$B$9</f>
        <v>Auditovateľnosť</v>
      </c>
      <c r="D386" s="788" t="str">
        <f t="shared" ref="D386:G386" si="528">D372</f>
        <v>N</v>
      </c>
      <c r="E386" s="773" t="str">
        <f t="shared" si="528"/>
        <v>A</v>
      </c>
      <c r="F386" s="773" t="str">
        <f t="shared" si="528"/>
        <v>A</v>
      </c>
      <c r="G386" s="773" t="str">
        <f t="shared" si="528"/>
        <v>A</v>
      </c>
      <c r="H386" s="773"/>
      <c r="I386" s="773"/>
      <c r="J386" s="773"/>
      <c r="K386" s="773"/>
      <c r="L386" s="773" t="str">
        <f t="shared" ref="L386:N386" si="529">L372</f>
        <v>A</v>
      </c>
      <c r="M386" s="773" t="str">
        <f t="shared" si="529"/>
        <v>N</v>
      </c>
      <c r="N386" s="773" t="str">
        <f t="shared" si="529"/>
        <v>N</v>
      </c>
      <c r="O386" s="773"/>
      <c r="P386" s="773" t="str">
        <f t="shared" ref="P386:AC386" si="530">P372</f>
        <v>A</v>
      </c>
      <c r="Q386" s="773" t="str">
        <f t="shared" si="530"/>
        <v>A</v>
      </c>
      <c r="R386" s="773" t="str">
        <f t="shared" si="530"/>
        <v>A</v>
      </c>
      <c r="S386" s="773" t="str">
        <f t="shared" si="530"/>
        <v>A</v>
      </c>
      <c r="T386" s="773" t="str">
        <f t="shared" si="530"/>
        <v>A</v>
      </c>
      <c r="U386" s="773" t="str">
        <f t="shared" si="530"/>
        <v>A</v>
      </c>
      <c r="V386" s="773" t="str">
        <f t="shared" si="530"/>
        <v>A</v>
      </c>
      <c r="W386" s="773" t="str">
        <f t="shared" si="530"/>
        <v>A</v>
      </c>
      <c r="X386" s="773" t="str">
        <f t="shared" si="530"/>
        <v>A</v>
      </c>
      <c r="Y386" s="773" t="str">
        <f t="shared" si="530"/>
        <v>A</v>
      </c>
      <c r="Z386" s="773" t="str">
        <f t="shared" si="530"/>
        <v>A</v>
      </c>
      <c r="AA386" s="773" t="str">
        <f t="shared" si="530"/>
        <v>A</v>
      </c>
      <c r="AB386" s="773" t="str">
        <f t="shared" si="530"/>
        <v>A</v>
      </c>
      <c r="AC386" s="773" t="str">
        <f t="shared" si="530"/>
        <v>A</v>
      </c>
      <c r="AD386" s="876"/>
      <c r="AE386" s="863"/>
      <c r="AF386" s="870"/>
      <c r="AG386" s="1019"/>
      <c r="AH386" s="802"/>
      <c r="AI386" s="803"/>
    </row>
    <row r="387" spans="1:51" hidden="1" outlineLevel="1" x14ac:dyDescent="0.3">
      <c r="A387" s="159"/>
      <c r="B387" s="1191"/>
      <c r="C387" s="735" t="str">
        <f>'Optimalizačné opatrenia'!$B$10</f>
        <v>Transparentnosť</v>
      </c>
      <c r="D387" s="788" t="str">
        <f t="shared" ref="D387:G387" si="531">D373</f>
        <v>N</v>
      </c>
      <c r="E387" s="773" t="str">
        <f t="shared" si="531"/>
        <v>N</v>
      </c>
      <c r="F387" s="773" t="str">
        <f t="shared" si="531"/>
        <v>N</v>
      </c>
      <c r="G387" s="773" t="str">
        <f t="shared" si="531"/>
        <v>N</v>
      </c>
      <c r="H387" s="773"/>
      <c r="I387" s="773"/>
      <c r="J387" s="773"/>
      <c r="K387" s="773"/>
      <c r="L387" s="773" t="str">
        <f t="shared" ref="L387:N387" si="532">L373</f>
        <v>N</v>
      </c>
      <c r="M387" s="773" t="str">
        <f t="shared" si="532"/>
        <v>N</v>
      </c>
      <c r="N387" s="773" t="str">
        <f t="shared" si="532"/>
        <v>N</v>
      </c>
      <c r="O387" s="773"/>
      <c r="P387" s="773" t="str">
        <f t="shared" ref="P387:AC387" si="533">P373</f>
        <v>A</v>
      </c>
      <c r="Q387" s="773" t="str">
        <f t="shared" si="533"/>
        <v>N</v>
      </c>
      <c r="R387" s="773" t="str">
        <f t="shared" si="533"/>
        <v>N</v>
      </c>
      <c r="S387" s="773" t="str">
        <f t="shared" si="533"/>
        <v>N</v>
      </c>
      <c r="T387" s="773" t="str">
        <f t="shared" si="533"/>
        <v>N</v>
      </c>
      <c r="U387" s="773" t="str">
        <f t="shared" si="533"/>
        <v>N</v>
      </c>
      <c r="V387" s="773" t="str">
        <f t="shared" si="533"/>
        <v>A</v>
      </c>
      <c r="W387" s="773" t="str">
        <f t="shared" si="533"/>
        <v>N</v>
      </c>
      <c r="X387" s="773" t="str">
        <f t="shared" si="533"/>
        <v>N</v>
      </c>
      <c r="Y387" s="773" t="str">
        <f t="shared" si="533"/>
        <v>N</v>
      </c>
      <c r="Z387" s="773" t="str">
        <f t="shared" si="533"/>
        <v>N</v>
      </c>
      <c r="AA387" s="773" t="str">
        <f t="shared" si="533"/>
        <v>A</v>
      </c>
      <c r="AB387" s="773" t="str">
        <f t="shared" si="533"/>
        <v>N</v>
      </c>
      <c r="AC387" s="773" t="str">
        <f t="shared" si="533"/>
        <v>N</v>
      </c>
      <c r="AD387" s="876"/>
      <c r="AE387" s="863"/>
      <c r="AF387" s="870"/>
      <c r="AG387" s="1019"/>
      <c r="AH387" s="802"/>
      <c r="AI387" s="803"/>
    </row>
    <row r="388" spans="1:51" hidden="1" outlineLevel="1" x14ac:dyDescent="0.3">
      <c r="A388" s="159"/>
      <c r="B388" s="1191"/>
      <c r="C388" s="735" t="str">
        <f>'Optimalizačné opatrenia'!$B$11</f>
        <v>Analyzovatelnosť</v>
      </c>
      <c r="D388" s="788" t="str">
        <f t="shared" ref="D388:G388" si="534">D374</f>
        <v>N</v>
      </c>
      <c r="E388" s="773" t="str">
        <f t="shared" si="534"/>
        <v>N</v>
      </c>
      <c r="F388" s="773" t="str">
        <f t="shared" si="534"/>
        <v>A</v>
      </c>
      <c r="G388" s="773" t="str">
        <f t="shared" si="534"/>
        <v>A</v>
      </c>
      <c r="H388" s="773"/>
      <c r="I388" s="773"/>
      <c r="J388" s="773"/>
      <c r="K388" s="773"/>
      <c r="L388" s="773" t="str">
        <f t="shared" ref="L388:N388" si="535">L374</f>
        <v>A</v>
      </c>
      <c r="M388" s="773" t="str">
        <f t="shared" si="535"/>
        <v>N</v>
      </c>
      <c r="N388" s="773" t="str">
        <f t="shared" si="535"/>
        <v>N</v>
      </c>
      <c r="O388" s="773"/>
      <c r="P388" s="773" t="str">
        <f t="shared" ref="P388:AC388" si="536">P374</f>
        <v>A</v>
      </c>
      <c r="Q388" s="773" t="str">
        <f t="shared" si="536"/>
        <v>A</v>
      </c>
      <c r="R388" s="773" t="str">
        <f t="shared" si="536"/>
        <v>A</v>
      </c>
      <c r="S388" s="773" t="str">
        <f t="shared" si="536"/>
        <v>A</v>
      </c>
      <c r="T388" s="773" t="str">
        <f t="shared" si="536"/>
        <v>A</v>
      </c>
      <c r="U388" s="773" t="str">
        <f t="shared" si="536"/>
        <v>A</v>
      </c>
      <c r="V388" s="773" t="str">
        <f t="shared" si="536"/>
        <v>A</v>
      </c>
      <c r="W388" s="773" t="str">
        <f t="shared" si="536"/>
        <v>A</v>
      </c>
      <c r="X388" s="773" t="str">
        <f t="shared" si="536"/>
        <v>A</v>
      </c>
      <c r="Y388" s="773" t="str">
        <f t="shared" si="536"/>
        <v>A</v>
      </c>
      <c r="Z388" s="773" t="str">
        <f t="shared" si="536"/>
        <v>A</v>
      </c>
      <c r="AA388" s="773" t="str">
        <f t="shared" si="536"/>
        <v>A</v>
      </c>
      <c r="AB388" s="773" t="str">
        <f t="shared" si="536"/>
        <v>A</v>
      </c>
      <c r="AC388" s="773" t="str">
        <f t="shared" si="536"/>
        <v>A</v>
      </c>
      <c r="AD388" s="876"/>
      <c r="AE388" s="863"/>
      <c r="AF388" s="870"/>
      <c r="AG388" s="1019"/>
      <c r="AH388" s="802"/>
      <c r="AI388" s="803"/>
    </row>
    <row r="389" spans="1:51" hidden="1" outlineLevel="1" x14ac:dyDescent="0.3">
      <c r="A389" s="159"/>
      <c r="B389" s="1191"/>
      <c r="C389" s="735" t="str">
        <f>'Optimalizačné opatrenia'!$B$12</f>
        <v>Integrácia</v>
      </c>
      <c r="D389" s="788" t="str">
        <f t="shared" ref="D389:G389" si="537">D375</f>
        <v>N</v>
      </c>
      <c r="E389" s="773" t="str">
        <f t="shared" si="537"/>
        <v>A</v>
      </c>
      <c r="F389" s="773" t="str">
        <f t="shared" si="537"/>
        <v>A</v>
      </c>
      <c r="G389" s="773" t="str">
        <f t="shared" si="537"/>
        <v>A</v>
      </c>
      <c r="H389" s="773"/>
      <c r="I389" s="773"/>
      <c r="J389" s="773"/>
      <c r="K389" s="773"/>
      <c r="L389" s="773" t="str">
        <f t="shared" ref="L389:N389" si="538">L375</f>
        <v>A</v>
      </c>
      <c r="M389" s="773" t="str">
        <f t="shared" si="538"/>
        <v>N</v>
      </c>
      <c r="N389" s="773" t="str">
        <f t="shared" si="538"/>
        <v>N</v>
      </c>
      <c r="O389" s="773"/>
      <c r="P389" s="773" t="str">
        <f t="shared" ref="P389:AC389" si="539">P375</f>
        <v>A</v>
      </c>
      <c r="Q389" s="773" t="str">
        <f t="shared" si="539"/>
        <v>A</v>
      </c>
      <c r="R389" s="773" t="str">
        <f t="shared" si="539"/>
        <v>A</v>
      </c>
      <c r="S389" s="773" t="str">
        <f t="shared" si="539"/>
        <v>A</v>
      </c>
      <c r="T389" s="773" t="str">
        <f t="shared" si="539"/>
        <v>A</v>
      </c>
      <c r="U389" s="773" t="str">
        <f t="shared" si="539"/>
        <v>A</v>
      </c>
      <c r="V389" s="773" t="str">
        <f t="shared" si="539"/>
        <v>A</v>
      </c>
      <c r="W389" s="773" t="str">
        <f t="shared" si="539"/>
        <v>A</v>
      </c>
      <c r="X389" s="773" t="str">
        <f t="shared" si="539"/>
        <v>A</v>
      </c>
      <c r="Y389" s="773" t="str">
        <f t="shared" si="539"/>
        <v>A</v>
      </c>
      <c r="Z389" s="773" t="str">
        <f t="shared" si="539"/>
        <v>A</v>
      </c>
      <c r="AA389" s="773" t="str">
        <f t="shared" si="539"/>
        <v>A</v>
      </c>
      <c r="AB389" s="773" t="str">
        <f t="shared" si="539"/>
        <v>A</v>
      </c>
      <c r="AC389" s="773" t="str">
        <f t="shared" si="539"/>
        <v>A</v>
      </c>
      <c r="AD389" s="876"/>
      <c r="AE389" s="863"/>
      <c r="AF389" s="870"/>
      <c r="AG389" s="1019"/>
      <c r="AH389" s="802"/>
      <c r="AI389" s="803"/>
    </row>
    <row r="390" spans="1:51" hidden="1" outlineLevel="1" x14ac:dyDescent="0.3">
      <c r="A390" s="159"/>
      <c r="B390" s="1191"/>
      <c r="C390" s="740" t="str">
        <f>'Optimalizačné opatrenia'!$B$13</f>
        <v>Proaktivita</v>
      </c>
      <c r="D390" s="788" t="str">
        <f t="shared" ref="D390:G390" si="540">D376</f>
        <v>N</v>
      </c>
      <c r="E390" s="773" t="str">
        <f t="shared" si="540"/>
        <v>N</v>
      </c>
      <c r="F390" s="773" t="str">
        <f t="shared" si="540"/>
        <v>A</v>
      </c>
      <c r="G390" s="773" t="str">
        <f t="shared" si="540"/>
        <v>N</v>
      </c>
      <c r="H390" s="773"/>
      <c r="I390" s="773"/>
      <c r="J390" s="773"/>
      <c r="K390" s="773"/>
      <c r="L390" s="773" t="str">
        <f t="shared" ref="L390:N390" si="541">L376</f>
        <v>A</v>
      </c>
      <c r="M390" s="773" t="str">
        <f t="shared" si="541"/>
        <v>N</v>
      </c>
      <c r="N390" s="773" t="str">
        <f t="shared" si="541"/>
        <v>N</v>
      </c>
      <c r="O390" s="773"/>
      <c r="P390" s="773" t="str">
        <f t="shared" ref="P390:AC390" si="542">P376</f>
        <v>N</v>
      </c>
      <c r="Q390" s="773" t="str">
        <f t="shared" si="542"/>
        <v>N</v>
      </c>
      <c r="R390" s="773" t="str">
        <f t="shared" si="542"/>
        <v>A</v>
      </c>
      <c r="S390" s="773" t="str">
        <f t="shared" si="542"/>
        <v>A</v>
      </c>
      <c r="T390" s="773" t="str">
        <f t="shared" si="542"/>
        <v>A</v>
      </c>
      <c r="U390" s="773" t="str">
        <f t="shared" si="542"/>
        <v>N</v>
      </c>
      <c r="V390" s="773" t="str">
        <f t="shared" si="542"/>
        <v>A</v>
      </c>
      <c r="W390" s="773" t="str">
        <f t="shared" si="542"/>
        <v>N</v>
      </c>
      <c r="X390" s="773" t="str">
        <f t="shared" si="542"/>
        <v>N</v>
      </c>
      <c r="Y390" s="773" t="str">
        <f t="shared" si="542"/>
        <v>A</v>
      </c>
      <c r="Z390" s="773" t="str">
        <f t="shared" si="542"/>
        <v>A</v>
      </c>
      <c r="AA390" s="773" t="str">
        <f t="shared" si="542"/>
        <v>A</v>
      </c>
      <c r="AB390" s="773" t="str">
        <f t="shared" si="542"/>
        <v>N</v>
      </c>
      <c r="AC390" s="773" t="str">
        <f t="shared" si="542"/>
        <v>A</v>
      </c>
      <c r="AD390" s="876"/>
      <c r="AE390" s="863"/>
      <c r="AF390" s="870"/>
      <c r="AG390" s="1019"/>
      <c r="AH390" s="802"/>
      <c r="AI390" s="803"/>
    </row>
    <row r="391" spans="1:51" hidden="1" outlineLevel="1" x14ac:dyDescent="0.3">
      <c r="A391" s="159"/>
      <c r="B391" s="790"/>
      <c r="C391" s="792" t="s">
        <v>550</v>
      </c>
      <c r="D391" s="793">
        <f t="shared" ref="D391:G391" si="543">D377</f>
        <v>0</v>
      </c>
      <c r="E391" s="791">
        <f t="shared" si="543"/>
        <v>0.2</v>
      </c>
      <c r="F391" s="794">
        <f t="shared" si="543"/>
        <v>0.4</v>
      </c>
      <c r="G391" s="794">
        <f t="shared" si="543"/>
        <v>0.3</v>
      </c>
      <c r="H391" s="794"/>
      <c r="I391" s="794"/>
      <c r="J391" s="794"/>
      <c r="K391" s="794"/>
      <c r="L391" s="794">
        <f t="shared" ref="L391:N391" si="544">L377</f>
        <v>0.4</v>
      </c>
      <c r="M391" s="794">
        <f t="shared" si="544"/>
        <v>0</v>
      </c>
      <c r="N391" s="794">
        <f t="shared" si="544"/>
        <v>0</v>
      </c>
      <c r="O391" s="794"/>
      <c r="P391" s="794">
        <f t="shared" ref="P391:AC391" si="545">P377</f>
        <v>0.45</v>
      </c>
      <c r="Q391" s="794">
        <f t="shared" si="545"/>
        <v>0.3</v>
      </c>
      <c r="R391" s="794">
        <f t="shared" si="545"/>
        <v>0.4</v>
      </c>
      <c r="S391" s="794">
        <f t="shared" si="545"/>
        <v>0.4</v>
      </c>
      <c r="T391" s="794">
        <f t="shared" si="545"/>
        <v>0.4</v>
      </c>
      <c r="U391" s="794">
        <f t="shared" si="545"/>
        <v>0.3</v>
      </c>
      <c r="V391" s="794">
        <f t="shared" si="545"/>
        <v>0.5</v>
      </c>
      <c r="W391" s="794">
        <f t="shared" si="545"/>
        <v>0.3</v>
      </c>
      <c r="X391" s="794">
        <f t="shared" si="545"/>
        <v>0.3</v>
      </c>
      <c r="Y391" s="794">
        <f t="shared" si="545"/>
        <v>0.4</v>
      </c>
      <c r="Z391" s="794">
        <f t="shared" si="545"/>
        <v>0.4</v>
      </c>
      <c r="AA391" s="794">
        <f t="shared" si="545"/>
        <v>0.5</v>
      </c>
      <c r="AB391" s="794">
        <f t="shared" si="545"/>
        <v>0.3</v>
      </c>
      <c r="AC391" s="794">
        <f t="shared" si="545"/>
        <v>0.4</v>
      </c>
      <c r="AD391" s="877"/>
      <c r="AE391" s="864"/>
      <c r="AF391" s="871"/>
      <c r="AG391" s="1020"/>
      <c r="AH391" s="805"/>
      <c r="AI391" s="806"/>
    </row>
    <row r="392" spans="1:51" ht="43.2" collapsed="1" x14ac:dyDescent="0.3">
      <c r="A392" s="159">
        <f ca="1">OFFSET(A392,-14,0)+1</f>
        <v>28</v>
      </c>
      <c r="B392" s="234" t="str">
        <f ca="1">'Procesy - AS IS'!B95</f>
        <v>Meranie č. 28</v>
      </c>
      <c r="C392" s="718" t="str">
        <f>'Procesy - AS IS'!C95</f>
        <v>Považská cementáreň, a.s. , Environmentálne označovanie výrobkov, 5706/2018</v>
      </c>
      <c r="D392" s="796">
        <f>-'Procesy - AS IS'!D97*D405</f>
        <v>0</v>
      </c>
      <c r="E392" s="721">
        <f>-'Procesy - AS IS'!E97*E405</f>
        <v>-1.6</v>
      </c>
      <c r="F392" s="721">
        <f>-'Procesy - AS IS'!F97*F405</f>
        <v>0</v>
      </c>
      <c r="G392" s="721">
        <f>-'Procesy - AS IS'!G97*G405</f>
        <v>-3.5999999999999996</v>
      </c>
      <c r="H392" s="721" t="s">
        <v>568</v>
      </c>
      <c r="I392" s="721" t="s">
        <v>568</v>
      </c>
      <c r="J392" s="721" t="s">
        <v>568</v>
      </c>
      <c r="K392" s="721" t="s">
        <v>568</v>
      </c>
      <c r="L392" s="721">
        <f>-'Procesy - AS IS'!L97*L405</f>
        <v>-1.6</v>
      </c>
      <c r="M392" s="721">
        <f>-'Procesy - AS IS'!M97*M405</f>
        <v>0</v>
      </c>
      <c r="N392" s="721" t="s">
        <v>570</v>
      </c>
      <c r="O392" s="721" t="s">
        <v>572</v>
      </c>
      <c r="P392" s="721">
        <f>-'Procesy - AS IS'!P97*P405</f>
        <v>-3.6</v>
      </c>
      <c r="Q392" s="721">
        <f>-'Procesy - AS IS'!Q97*Q405</f>
        <v>0</v>
      </c>
      <c r="R392" s="721">
        <f>-'Procesy - AS IS'!R97*R405</f>
        <v>0</v>
      </c>
      <c r="S392" s="721">
        <f>-'Procesy - AS IS'!S97*S405</f>
        <v>-1.6</v>
      </c>
      <c r="T392" s="721">
        <f>-'Procesy - AS IS'!T97*T405</f>
        <v>0</v>
      </c>
      <c r="U392" s="721">
        <f>-'Procesy - AS IS'!U97*U405</f>
        <v>-1.2</v>
      </c>
      <c r="V392" s="721">
        <f>-'Procesy - AS IS'!V97*V405</f>
        <v>-2</v>
      </c>
      <c r="W392" s="721">
        <f>-'Procesy - AS IS'!W97*W405</f>
        <v>0</v>
      </c>
      <c r="X392" s="721">
        <f>-'Procesy - AS IS'!X97*X405</f>
        <v>0</v>
      </c>
      <c r="Y392" s="721">
        <f>-'Procesy - AS IS'!Y97*Y405</f>
        <v>0</v>
      </c>
      <c r="Z392" s="721">
        <f>-'Procesy - AS IS'!Z97*Z405</f>
        <v>0</v>
      </c>
      <c r="AA392" s="721">
        <f>-'Procesy - AS IS'!AA97*AA405</f>
        <v>0</v>
      </c>
      <c r="AB392" s="721">
        <f>-'Procesy - AS IS'!AB97*AB405</f>
        <v>0</v>
      </c>
      <c r="AC392" s="721">
        <f>-'Procesy - AS IS'!AC97*AC405</f>
        <v>0</v>
      </c>
      <c r="AD392" s="824">
        <f>SUM(D392:AC392)</f>
        <v>-15.199999999999998</v>
      </c>
      <c r="AE392" s="798">
        <f>AD392/'Procesy - AS IS'!AD97</f>
        <v>-0.3454545454545454</v>
      </c>
      <c r="AF392" s="869">
        <f>('Procesy - AS IS'!AG97/(1+$AE392)-'Procesy - AS IS'!AG97)/2</f>
        <v>11.083333333333336</v>
      </c>
      <c r="AG392" s="1018">
        <f>('Procesy - AS IS'!AH97/(1+$AE392)-'Procesy - AS IS'!AH97)/2</f>
        <v>0</v>
      </c>
      <c r="AH392" s="800">
        <f>('Procesy - AS IS'!AI97/(1+$AE392)-'Procesy - AS IS'!AI97)/2</f>
        <v>0</v>
      </c>
      <c r="AI392" s="801">
        <f>('Procesy - AS IS'!AJ97/(1+$AE392)-'Procesy - AS IS'!AJ97)/2</f>
        <v>0</v>
      </c>
      <c r="AK392" s="232"/>
      <c r="AY392" s="227"/>
    </row>
    <row r="393" spans="1:51" hidden="1" outlineLevel="1" x14ac:dyDescent="0.3">
      <c r="A393" s="159"/>
      <c r="B393" s="1190" t="s">
        <v>540</v>
      </c>
      <c r="C393" s="735" t="str">
        <f>'Optimalizačné opatrenia'!$B$2</f>
        <v>Modernizácia</v>
      </c>
      <c r="D393" s="741" t="s">
        <v>542</v>
      </c>
      <c r="E393" s="742" t="str">
        <f t="shared" ref="E393:G405" si="546">E351</f>
        <v>A</v>
      </c>
      <c r="F393" s="773" t="str">
        <f t="shared" si="546"/>
        <v>A</v>
      </c>
      <c r="G393" s="773" t="str">
        <f t="shared" si="546"/>
        <v>A</v>
      </c>
      <c r="H393" s="773"/>
      <c r="I393" s="773"/>
      <c r="J393" s="773"/>
      <c r="K393" s="773"/>
      <c r="L393" s="773" t="str">
        <f t="shared" ref="L393:N405" si="547">L351</f>
        <v>A</v>
      </c>
      <c r="M393" s="773" t="str">
        <f t="shared" si="547"/>
        <v>N</v>
      </c>
      <c r="N393" s="773" t="str">
        <f t="shared" si="547"/>
        <v>N</v>
      </c>
      <c r="O393" s="773"/>
      <c r="P393" s="773" t="str">
        <f t="shared" ref="P393:R405" si="548">P351</f>
        <v>A</v>
      </c>
      <c r="Q393" s="773" t="str">
        <f t="shared" si="548"/>
        <v>A</v>
      </c>
      <c r="R393" s="773" t="str">
        <f t="shared" si="548"/>
        <v>A</v>
      </c>
      <c r="S393" s="773" t="str">
        <f t="shared" ref="S393:S405" si="549">R393</f>
        <v>A</v>
      </c>
      <c r="T393" s="773" t="str">
        <f t="shared" ref="T393:T405" si="550">R393</f>
        <v>A</v>
      </c>
      <c r="U393" s="773" t="str">
        <f t="shared" ref="U393:U405" si="551">G393</f>
        <v>A</v>
      </c>
      <c r="V393" s="773" t="str">
        <f t="shared" ref="V393:V405" si="552">V351</f>
        <v>A</v>
      </c>
      <c r="W393" s="773" t="str">
        <f t="shared" ref="W393:W405" si="553">W7</f>
        <v>A</v>
      </c>
      <c r="X393" s="773" t="str">
        <f t="shared" ref="X393:X405" si="554">G393</f>
        <v>A</v>
      </c>
      <c r="Y393" s="773" t="str">
        <f t="shared" ref="Y393:Y405" si="555">R393</f>
        <v>A</v>
      </c>
      <c r="Z393" s="773" t="str">
        <f t="shared" ref="Z393:Z405" si="556">R393</f>
        <v>A</v>
      </c>
      <c r="AA393" s="773" t="str">
        <f t="shared" ref="AA393:AA405" si="557">$V393</f>
        <v>A</v>
      </c>
      <c r="AB393" s="773" t="str">
        <f t="shared" ref="AB393:AB405" si="558">G393</f>
        <v>A</v>
      </c>
      <c r="AC393" s="773" t="str">
        <f t="shared" ref="AC393:AC405" si="559">R393</f>
        <v>A</v>
      </c>
      <c r="AD393" s="876"/>
      <c r="AE393" s="863"/>
      <c r="AF393" s="870"/>
      <c r="AG393" s="1019"/>
      <c r="AH393" s="802"/>
      <c r="AI393" s="803"/>
    </row>
    <row r="394" spans="1:51" hidden="1" outlineLevel="1" x14ac:dyDescent="0.3">
      <c r="A394" s="159"/>
      <c r="B394" s="1191"/>
      <c r="C394" s="735" t="str">
        <f>'Optimalizačné opatrenia'!$B$3</f>
        <v>Sfunkčnenie</v>
      </c>
      <c r="D394" s="788" t="s">
        <v>542</v>
      </c>
      <c r="E394" s="773" t="str">
        <f t="shared" si="546"/>
        <v>N</v>
      </c>
      <c r="F394" s="773" t="str">
        <f t="shared" si="546"/>
        <v>N</v>
      </c>
      <c r="G394" s="773" t="str">
        <f t="shared" si="546"/>
        <v>N</v>
      </c>
      <c r="H394" s="773"/>
      <c r="I394" s="773"/>
      <c r="J394" s="773"/>
      <c r="K394" s="773"/>
      <c r="L394" s="773" t="str">
        <f t="shared" si="547"/>
        <v>N</v>
      </c>
      <c r="M394" s="773" t="str">
        <f t="shared" si="547"/>
        <v>N</v>
      </c>
      <c r="N394" s="773" t="str">
        <f t="shared" si="547"/>
        <v>N</v>
      </c>
      <c r="O394" s="773"/>
      <c r="P394" s="773" t="str">
        <f t="shared" si="548"/>
        <v>N</v>
      </c>
      <c r="Q394" s="773" t="str">
        <f t="shared" si="548"/>
        <v>N</v>
      </c>
      <c r="R394" s="773" t="str">
        <f t="shared" si="548"/>
        <v>N</v>
      </c>
      <c r="S394" s="773" t="str">
        <f t="shared" si="549"/>
        <v>N</v>
      </c>
      <c r="T394" s="773" t="str">
        <f t="shared" si="550"/>
        <v>N</v>
      </c>
      <c r="U394" s="773" t="str">
        <f t="shared" si="551"/>
        <v>N</v>
      </c>
      <c r="V394" s="773" t="str">
        <f t="shared" si="552"/>
        <v>N</v>
      </c>
      <c r="W394" s="773" t="str">
        <f t="shared" si="553"/>
        <v>N</v>
      </c>
      <c r="X394" s="773" t="str">
        <f t="shared" si="554"/>
        <v>N</v>
      </c>
      <c r="Y394" s="773" t="str">
        <f t="shared" si="555"/>
        <v>N</v>
      </c>
      <c r="Z394" s="773" t="str">
        <f t="shared" si="556"/>
        <v>N</v>
      </c>
      <c r="AA394" s="773" t="str">
        <f t="shared" si="557"/>
        <v>N</v>
      </c>
      <c r="AB394" s="773" t="str">
        <f t="shared" si="558"/>
        <v>N</v>
      </c>
      <c r="AC394" s="773" t="str">
        <f t="shared" si="559"/>
        <v>N</v>
      </c>
      <c r="AD394" s="876"/>
      <c r="AE394" s="863"/>
      <c r="AF394" s="870"/>
      <c r="AG394" s="1019"/>
      <c r="AH394" s="802"/>
      <c r="AI394" s="803"/>
    </row>
    <row r="395" spans="1:51" hidden="1" outlineLevel="1" x14ac:dyDescent="0.3">
      <c r="A395" s="159"/>
      <c r="B395" s="1191"/>
      <c r="C395" s="735" t="str">
        <f>'Optimalizačné opatrenia'!$B$4</f>
        <v>Zjednotenie</v>
      </c>
      <c r="D395" s="788" t="s">
        <v>542</v>
      </c>
      <c r="E395" s="773" t="str">
        <f t="shared" si="546"/>
        <v>N</v>
      </c>
      <c r="F395" s="773" t="str">
        <f t="shared" si="546"/>
        <v>A</v>
      </c>
      <c r="G395" s="773" t="str">
        <f t="shared" si="546"/>
        <v>A</v>
      </c>
      <c r="H395" s="773"/>
      <c r="I395" s="773"/>
      <c r="J395" s="773"/>
      <c r="K395" s="773"/>
      <c r="L395" s="773" t="str">
        <f t="shared" si="547"/>
        <v>A</v>
      </c>
      <c r="M395" s="773" t="str">
        <f t="shared" si="547"/>
        <v>N</v>
      </c>
      <c r="N395" s="773" t="str">
        <f t="shared" si="547"/>
        <v>N</v>
      </c>
      <c r="O395" s="773"/>
      <c r="P395" s="773" t="str">
        <f t="shared" si="548"/>
        <v>A</v>
      </c>
      <c r="Q395" s="773" t="str">
        <f t="shared" si="548"/>
        <v>A</v>
      </c>
      <c r="R395" s="773" t="str">
        <f t="shared" si="548"/>
        <v>A</v>
      </c>
      <c r="S395" s="773" t="str">
        <f t="shared" si="549"/>
        <v>A</v>
      </c>
      <c r="T395" s="773" t="str">
        <f t="shared" si="550"/>
        <v>A</v>
      </c>
      <c r="U395" s="773" t="str">
        <f t="shared" si="551"/>
        <v>A</v>
      </c>
      <c r="V395" s="773" t="str">
        <f t="shared" si="552"/>
        <v>A</v>
      </c>
      <c r="W395" s="773" t="str">
        <f t="shared" si="553"/>
        <v>A</v>
      </c>
      <c r="X395" s="773" t="str">
        <f t="shared" si="554"/>
        <v>A</v>
      </c>
      <c r="Y395" s="773" t="str">
        <f t="shared" si="555"/>
        <v>A</v>
      </c>
      <c r="Z395" s="773" t="str">
        <f t="shared" si="556"/>
        <v>A</v>
      </c>
      <c r="AA395" s="773" t="str">
        <f t="shared" si="557"/>
        <v>A</v>
      </c>
      <c r="AB395" s="773" t="str">
        <f t="shared" si="558"/>
        <v>A</v>
      </c>
      <c r="AC395" s="773" t="str">
        <f t="shared" si="559"/>
        <v>A</v>
      </c>
      <c r="AD395" s="876"/>
      <c r="AE395" s="863"/>
      <c r="AF395" s="870"/>
      <c r="AG395" s="1019"/>
      <c r="AH395" s="802"/>
      <c r="AI395" s="803"/>
    </row>
    <row r="396" spans="1:51" hidden="1" outlineLevel="1" x14ac:dyDescent="0.3">
      <c r="A396" s="159"/>
      <c r="B396" s="1191"/>
      <c r="C396" s="735" t="str">
        <f>'Optimalizačné opatrenia'!$B$5</f>
        <v>Centralizácia</v>
      </c>
      <c r="D396" s="788" t="s">
        <v>542</v>
      </c>
      <c r="E396" s="773" t="str">
        <f t="shared" si="546"/>
        <v>N</v>
      </c>
      <c r="F396" s="773" t="str">
        <f t="shared" si="546"/>
        <v>A</v>
      </c>
      <c r="G396" s="773" t="str">
        <f t="shared" si="546"/>
        <v>A</v>
      </c>
      <c r="H396" s="773"/>
      <c r="I396" s="773"/>
      <c r="J396" s="773"/>
      <c r="K396" s="773"/>
      <c r="L396" s="773" t="str">
        <f t="shared" si="547"/>
        <v>A</v>
      </c>
      <c r="M396" s="773" t="str">
        <f t="shared" si="547"/>
        <v>N</v>
      </c>
      <c r="N396" s="773" t="str">
        <f t="shared" si="547"/>
        <v>N</v>
      </c>
      <c r="O396" s="773"/>
      <c r="P396" s="773" t="str">
        <f t="shared" si="548"/>
        <v>A</v>
      </c>
      <c r="Q396" s="773" t="str">
        <f t="shared" si="548"/>
        <v>A</v>
      </c>
      <c r="R396" s="773" t="str">
        <f t="shared" si="548"/>
        <v>A</v>
      </c>
      <c r="S396" s="773" t="str">
        <f t="shared" si="549"/>
        <v>A</v>
      </c>
      <c r="T396" s="773" t="str">
        <f t="shared" si="550"/>
        <v>A</v>
      </c>
      <c r="U396" s="773" t="str">
        <f t="shared" si="551"/>
        <v>A</v>
      </c>
      <c r="V396" s="773" t="str">
        <f t="shared" si="552"/>
        <v>A</v>
      </c>
      <c r="W396" s="773" t="str">
        <f t="shared" si="553"/>
        <v>A</v>
      </c>
      <c r="X396" s="773" t="str">
        <f t="shared" si="554"/>
        <v>A</v>
      </c>
      <c r="Y396" s="773" t="str">
        <f t="shared" si="555"/>
        <v>A</v>
      </c>
      <c r="Z396" s="773" t="str">
        <f t="shared" si="556"/>
        <v>A</v>
      </c>
      <c r="AA396" s="773" t="str">
        <f t="shared" si="557"/>
        <v>A</v>
      </c>
      <c r="AB396" s="773" t="str">
        <f t="shared" si="558"/>
        <v>A</v>
      </c>
      <c r="AC396" s="773" t="str">
        <f t="shared" si="559"/>
        <v>A</v>
      </c>
      <c r="AD396" s="876"/>
      <c r="AE396" s="863"/>
      <c r="AF396" s="870"/>
      <c r="AG396" s="1019"/>
      <c r="AH396" s="802"/>
      <c r="AI396" s="803"/>
    </row>
    <row r="397" spans="1:51" hidden="1" outlineLevel="1" x14ac:dyDescent="0.3">
      <c r="A397" s="159"/>
      <c r="B397" s="1191"/>
      <c r="C397" s="735" t="str">
        <f>'Optimalizačné opatrenia'!$B$6</f>
        <v>Elektronizácia</v>
      </c>
      <c r="D397" s="788" t="s">
        <v>542</v>
      </c>
      <c r="E397" s="773" t="str">
        <f t="shared" si="546"/>
        <v>A</v>
      </c>
      <c r="F397" s="773" t="str">
        <f t="shared" si="546"/>
        <v>A</v>
      </c>
      <c r="G397" s="773" t="str">
        <f t="shared" si="546"/>
        <v>A</v>
      </c>
      <c r="H397" s="773"/>
      <c r="I397" s="773"/>
      <c r="J397" s="773"/>
      <c r="K397" s="773"/>
      <c r="L397" s="773" t="str">
        <f t="shared" si="547"/>
        <v>A</v>
      </c>
      <c r="M397" s="773" t="str">
        <f t="shared" si="547"/>
        <v>N</v>
      </c>
      <c r="N397" s="773" t="str">
        <f t="shared" si="547"/>
        <v>N</v>
      </c>
      <c r="O397" s="773"/>
      <c r="P397" s="773" t="str">
        <f t="shared" si="548"/>
        <v>A</v>
      </c>
      <c r="Q397" s="773" t="str">
        <f t="shared" si="548"/>
        <v>A</v>
      </c>
      <c r="R397" s="773" t="str">
        <f t="shared" si="548"/>
        <v>A</v>
      </c>
      <c r="S397" s="773" t="str">
        <f t="shared" si="549"/>
        <v>A</v>
      </c>
      <c r="T397" s="773" t="str">
        <f t="shared" si="550"/>
        <v>A</v>
      </c>
      <c r="U397" s="773" t="str">
        <f t="shared" si="551"/>
        <v>A</v>
      </c>
      <c r="V397" s="773" t="str">
        <f t="shared" si="552"/>
        <v>A</v>
      </c>
      <c r="W397" s="773" t="str">
        <f t="shared" si="553"/>
        <v>A</v>
      </c>
      <c r="X397" s="773" t="str">
        <f t="shared" si="554"/>
        <v>A</v>
      </c>
      <c r="Y397" s="773" t="str">
        <f t="shared" si="555"/>
        <v>A</v>
      </c>
      <c r="Z397" s="773" t="str">
        <f t="shared" si="556"/>
        <v>A</v>
      </c>
      <c r="AA397" s="773" t="str">
        <f t="shared" si="557"/>
        <v>A</v>
      </c>
      <c r="AB397" s="773" t="str">
        <f t="shared" si="558"/>
        <v>A</v>
      </c>
      <c r="AC397" s="773" t="str">
        <f t="shared" si="559"/>
        <v>A</v>
      </c>
      <c r="AD397" s="876"/>
      <c r="AE397" s="863"/>
      <c r="AF397" s="870"/>
      <c r="AG397" s="1019"/>
      <c r="AH397" s="802"/>
      <c r="AI397" s="803"/>
    </row>
    <row r="398" spans="1:51" hidden="1" outlineLevel="1" x14ac:dyDescent="0.3">
      <c r="A398" s="159"/>
      <c r="B398" s="1191"/>
      <c r="C398" s="735" t="str">
        <f>'Optimalizačné opatrenia'!$B$7</f>
        <v>Automatizácia</v>
      </c>
      <c r="D398" s="788" t="s">
        <v>542</v>
      </c>
      <c r="E398" s="773" t="str">
        <f t="shared" si="546"/>
        <v>A</v>
      </c>
      <c r="F398" s="773" t="str">
        <f t="shared" si="546"/>
        <v>A</v>
      </c>
      <c r="G398" s="773" t="str">
        <f t="shared" si="546"/>
        <v>A</v>
      </c>
      <c r="H398" s="773"/>
      <c r="I398" s="773"/>
      <c r="J398" s="773"/>
      <c r="K398" s="773"/>
      <c r="L398" s="773" t="str">
        <f t="shared" si="547"/>
        <v>A</v>
      </c>
      <c r="M398" s="773" t="str">
        <f t="shared" si="547"/>
        <v>N</v>
      </c>
      <c r="N398" s="773" t="str">
        <f t="shared" si="547"/>
        <v>N</v>
      </c>
      <c r="O398" s="773"/>
      <c r="P398" s="773" t="str">
        <f t="shared" si="548"/>
        <v>A</v>
      </c>
      <c r="Q398" s="773" t="str">
        <f t="shared" si="548"/>
        <v>A</v>
      </c>
      <c r="R398" s="773" t="str">
        <f t="shared" si="548"/>
        <v>A</v>
      </c>
      <c r="S398" s="773" t="str">
        <f t="shared" si="549"/>
        <v>A</v>
      </c>
      <c r="T398" s="773" t="str">
        <f t="shared" si="550"/>
        <v>A</v>
      </c>
      <c r="U398" s="773" t="str">
        <f t="shared" si="551"/>
        <v>A</v>
      </c>
      <c r="V398" s="773" t="str">
        <f t="shared" si="552"/>
        <v>A</v>
      </c>
      <c r="W398" s="773" t="str">
        <f t="shared" si="553"/>
        <v>A</v>
      </c>
      <c r="X398" s="773" t="str">
        <f t="shared" si="554"/>
        <v>A</v>
      </c>
      <c r="Y398" s="773" t="str">
        <f t="shared" si="555"/>
        <v>A</v>
      </c>
      <c r="Z398" s="773" t="str">
        <f t="shared" si="556"/>
        <v>A</v>
      </c>
      <c r="AA398" s="773" t="str">
        <f t="shared" si="557"/>
        <v>A</v>
      </c>
      <c r="AB398" s="773" t="str">
        <f t="shared" si="558"/>
        <v>A</v>
      </c>
      <c r="AC398" s="773" t="str">
        <f t="shared" si="559"/>
        <v>A</v>
      </c>
      <c r="AD398" s="876"/>
      <c r="AE398" s="863"/>
      <c r="AF398" s="870"/>
      <c r="AG398" s="1019"/>
      <c r="AH398" s="802"/>
      <c r="AI398" s="803"/>
    </row>
    <row r="399" spans="1:51" hidden="1" outlineLevel="1" x14ac:dyDescent="0.3">
      <c r="A399" s="159"/>
      <c r="B399" s="1191"/>
      <c r="C399" s="735" t="str">
        <f>'Optimalizačné opatrenia'!$B$8</f>
        <v>Bezpečnosť</v>
      </c>
      <c r="D399" s="788" t="s">
        <v>542</v>
      </c>
      <c r="E399" s="773" t="str">
        <f t="shared" si="546"/>
        <v>N</v>
      </c>
      <c r="F399" s="773" t="str">
        <f t="shared" si="546"/>
        <v>A</v>
      </c>
      <c r="G399" s="773" t="str">
        <f t="shared" si="546"/>
        <v>A</v>
      </c>
      <c r="H399" s="773"/>
      <c r="I399" s="773"/>
      <c r="J399" s="773"/>
      <c r="K399" s="773"/>
      <c r="L399" s="773" t="str">
        <f t="shared" si="547"/>
        <v>A</v>
      </c>
      <c r="M399" s="773" t="str">
        <f t="shared" si="547"/>
        <v>N</v>
      </c>
      <c r="N399" s="773" t="str">
        <f t="shared" si="547"/>
        <v>N</v>
      </c>
      <c r="O399" s="773"/>
      <c r="P399" s="773" t="str">
        <f t="shared" si="548"/>
        <v>A</v>
      </c>
      <c r="Q399" s="773" t="str">
        <f t="shared" si="548"/>
        <v>A</v>
      </c>
      <c r="R399" s="773" t="str">
        <f t="shared" si="548"/>
        <v>A</v>
      </c>
      <c r="S399" s="773" t="str">
        <f t="shared" si="549"/>
        <v>A</v>
      </c>
      <c r="T399" s="773" t="str">
        <f t="shared" si="550"/>
        <v>A</v>
      </c>
      <c r="U399" s="773" t="str">
        <f t="shared" si="551"/>
        <v>A</v>
      </c>
      <c r="V399" s="773" t="str">
        <f t="shared" si="552"/>
        <v>A</v>
      </c>
      <c r="W399" s="773" t="str">
        <f t="shared" si="553"/>
        <v>A</v>
      </c>
      <c r="X399" s="773" t="str">
        <f t="shared" si="554"/>
        <v>A</v>
      </c>
      <c r="Y399" s="773" t="str">
        <f t="shared" si="555"/>
        <v>A</v>
      </c>
      <c r="Z399" s="773" t="str">
        <f t="shared" si="556"/>
        <v>A</v>
      </c>
      <c r="AA399" s="773" t="str">
        <f t="shared" si="557"/>
        <v>A</v>
      </c>
      <c r="AB399" s="773" t="str">
        <f t="shared" si="558"/>
        <v>A</v>
      </c>
      <c r="AC399" s="773" t="str">
        <f t="shared" si="559"/>
        <v>A</v>
      </c>
      <c r="AD399" s="876"/>
      <c r="AE399" s="863"/>
      <c r="AF399" s="870"/>
      <c r="AG399" s="1019"/>
      <c r="AH399" s="802"/>
      <c r="AI399" s="803"/>
    </row>
    <row r="400" spans="1:51" hidden="1" outlineLevel="1" x14ac:dyDescent="0.3">
      <c r="A400" s="159"/>
      <c r="B400" s="1191"/>
      <c r="C400" s="735" t="str">
        <f>'Optimalizačné opatrenia'!$B$9</f>
        <v>Auditovateľnosť</v>
      </c>
      <c r="D400" s="788" t="s">
        <v>542</v>
      </c>
      <c r="E400" s="773" t="str">
        <f t="shared" si="546"/>
        <v>A</v>
      </c>
      <c r="F400" s="773" t="str">
        <f t="shared" si="546"/>
        <v>A</v>
      </c>
      <c r="G400" s="773" t="str">
        <f t="shared" si="546"/>
        <v>A</v>
      </c>
      <c r="H400" s="773"/>
      <c r="I400" s="773"/>
      <c r="J400" s="773"/>
      <c r="K400" s="773"/>
      <c r="L400" s="773" t="str">
        <f t="shared" si="547"/>
        <v>A</v>
      </c>
      <c r="M400" s="773" t="str">
        <f t="shared" si="547"/>
        <v>N</v>
      </c>
      <c r="N400" s="773" t="str">
        <f t="shared" si="547"/>
        <v>N</v>
      </c>
      <c r="O400" s="773"/>
      <c r="P400" s="773" t="str">
        <f t="shared" si="548"/>
        <v>A</v>
      </c>
      <c r="Q400" s="773" t="str">
        <f t="shared" si="548"/>
        <v>A</v>
      </c>
      <c r="R400" s="773" t="str">
        <f t="shared" si="548"/>
        <v>A</v>
      </c>
      <c r="S400" s="773" t="str">
        <f t="shared" si="549"/>
        <v>A</v>
      </c>
      <c r="T400" s="773" t="str">
        <f t="shared" si="550"/>
        <v>A</v>
      </c>
      <c r="U400" s="773" t="str">
        <f t="shared" si="551"/>
        <v>A</v>
      </c>
      <c r="V400" s="773" t="str">
        <f t="shared" si="552"/>
        <v>A</v>
      </c>
      <c r="W400" s="773" t="str">
        <f t="shared" si="553"/>
        <v>A</v>
      </c>
      <c r="X400" s="773" t="str">
        <f t="shared" si="554"/>
        <v>A</v>
      </c>
      <c r="Y400" s="773" t="str">
        <f t="shared" si="555"/>
        <v>A</v>
      </c>
      <c r="Z400" s="773" t="str">
        <f t="shared" si="556"/>
        <v>A</v>
      </c>
      <c r="AA400" s="773" t="str">
        <f t="shared" si="557"/>
        <v>A</v>
      </c>
      <c r="AB400" s="773" t="str">
        <f t="shared" si="558"/>
        <v>A</v>
      </c>
      <c r="AC400" s="773" t="str">
        <f t="shared" si="559"/>
        <v>A</v>
      </c>
      <c r="AD400" s="876"/>
      <c r="AE400" s="863"/>
      <c r="AF400" s="870"/>
      <c r="AG400" s="1019"/>
      <c r="AH400" s="802"/>
      <c r="AI400" s="803"/>
    </row>
    <row r="401" spans="1:51" hidden="1" outlineLevel="1" x14ac:dyDescent="0.3">
      <c r="A401" s="159"/>
      <c r="B401" s="1191"/>
      <c r="C401" s="735" t="str">
        <f>'Optimalizačné opatrenia'!$B$10</f>
        <v>Transparentnosť</v>
      </c>
      <c r="D401" s="788" t="s">
        <v>542</v>
      </c>
      <c r="E401" s="773" t="str">
        <f t="shared" si="546"/>
        <v>N</v>
      </c>
      <c r="F401" s="773" t="str">
        <f t="shared" si="546"/>
        <v>N</v>
      </c>
      <c r="G401" s="773" t="str">
        <f t="shared" si="546"/>
        <v>N</v>
      </c>
      <c r="H401" s="773"/>
      <c r="I401" s="773"/>
      <c r="J401" s="773"/>
      <c r="K401" s="773"/>
      <c r="L401" s="773" t="str">
        <f t="shared" si="547"/>
        <v>N</v>
      </c>
      <c r="M401" s="773" t="str">
        <f t="shared" si="547"/>
        <v>N</v>
      </c>
      <c r="N401" s="773" t="str">
        <f t="shared" si="547"/>
        <v>N</v>
      </c>
      <c r="O401" s="773"/>
      <c r="P401" s="773" t="str">
        <f t="shared" si="548"/>
        <v>A</v>
      </c>
      <c r="Q401" s="773" t="str">
        <f t="shared" si="548"/>
        <v>N</v>
      </c>
      <c r="R401" s="773" t="str">
        <f t="shared" si="548"/>
        <v>N</v>
      </c>
      <c r="S401" s="773" t="str">
        <f t="shared" si="549"/>
        <v>N</v>
      </c>
      <c r="T401" s="773" t="str">
        <f t="shared" si="550"/>
        <v>N</v>
      </c>
      <c r="U401" s="773" t="str">
        <f t="shared" si="551"/>
        <v>N</v>
      </c>
      <c r="V401" s="773" t="str">
        <f t="shared" si="552"/>
        <v>A</v>
      </c>
      <c r="W401" s="773" t="str">
        <f t="shared" si="553"/>
        <v>N</v>
      </c>
      <c r="X401" s="773" t="str">
        <f t="shared" si="554"/>
        <v>N</v>
      </c>
      <c r="Y401" s="773" t="str">
        <f t="shared" si="555"/>
        <v>N</v>
      </c>
      <c r="Z401" s="773" t="str">
        <f t="shared" si="556"/>
        <v>N</v>
      </c>
      <c r="AA401" s="773" t="str">
        <f t="shared" si="557"/>
        <v>A</v>
      </c>
      <c r="AB401" s="773" t="str">
        <f t="shared" si="558"/>
        <v>N</v>
      </c>
      <c r="AC401" s="773" t="str">
        <f t="shared" si="559"/>
        <v>N</v>
      </c>
      <c r="AD401" s="876"/>
      <c r="AE401" s="863"/>
      <c r="AF401" s="870"/>
      <c r="AG401" s="1019"/>
      <c r="AH401" s="802"/>
      <c r="AI401" s="803"/>
    </row>
    <row r="402" spans="1:51" hidden="1" outlineLevel="1" x14ac:dyDescent="0.3">
      <c r="A402" s="159"/>
      <c r="B402" s="1191"/>
      <c r="C402" s="735" t="str">
        <f>'Optimalizačné opatrenia'!$B$11</f>
        <v>Analyzovatelnosť</v>
      </c>
      <c r="D402" s="788" t="s">
        <v>542</v>
      </c>
      <c r="E402" s="773" t="str">
        <f t="shared" si="546"/>
        <v>N</v>
      </c>
      <c r="F402" s="773" t="str">
        <f t="shared" si="546"/>
        <v>A</v>
      </c>
      <c r="G402" s="773" t="str">
        <f t="shared" si="546"/>
        <v>A</v>
      </c>
      <c r="H402" s="773"/>
      <c r="I402" s="773"/>
      <c r="J402" s="773"/>
      <c r="K402" s="773"/>
      <c r="L402" s="773" t="str">
        <f t="shared" si="547"/>
        <v>A</v>
      </c>
      <c r="M402" s="773" t="str">
        <f t="shared" si="547"/>
        <v>N</v>
      </c>
      <c r="N402" s="773" t="str">
        <f t="shared" si="547"/>
        <v>N</v>
      </c>
      <c r="O402" s="773"/>
      <c r="P402" s="773" t="str">
        <f t="shared" si="548"/>
        <v>A</v>
      </c>
      <c r="Q402" s="773" t="str">
        <f t="shared" si="548"/>
        <v>A</v>
      </c>
      <c r="R402" s="773" t="str">
        <f t="shared" si="548"/>
        <v>A</v>
      </c>
      <c r="S402" s="773" t="str">
        <f t="shared" si="549"/>
        <v>A</v>
      </c>
      <c r="T402" s="773" t="str">
        <f t="shared" si="550"/>
        <v>A</v>
      </c>
      <c r="U402" s="773" t="str">
        <f t="shared" si="551"/>
        <v>A</v>
      </c>
      <c r="V402" s="773" t="str">
        <f t="shared" si="552"/>
        <v>A</v>
      </c>
      <c r="W402" s="773" t="str">
        <f t="shared" si="553"/>
        <v>A</v>
      </c>
      <c r="X402" s="773" t="str">
        <f t="shared" si="554"/>
        <v>A</v>
      </c>
      <c r="Y402" s="773" t="str">
        <f t="shared" si="555"/>
        <v>A</v>
      </c>
      <c r="Z402" s="773" t="str">
        <f t="shared" si="556"/>
        <v>A</v>
      </c>
      <c r="AA402" s="773" t="str">
        <f t="shared" si="557"/>
        <v>A</v>
      </c>
      <c r="AB402" s="773" t="str">
        <f t="shared" si="558"/>
        <v>A</v>
      </c>
      <c r="AC402" s="773" t="str">
        <f t="shared" si="559"/>
        <v>A</v>
      </c>
      <c r="AD402" s="876"/>
      <c r="AE402" s="863"/>
      <c r="AF402" s="870"/>
      <c r="AG402" s="1019"/>
      <c r="AH402" s="802"/>
      <c r="AI402" s="803"/>
    </row>
    <row r="403" spans="1:51" hidden="1" outlineLevel="1" x14ac:dyDescent="0.3">
      <c r="A403" s="159"/>
      <c r="B403" s="1191"/>
      <c r="C403" s="735" t="str">
        <f>'Optimalizačné opatrenia'!$B$12</f>
        <v>Integrácia</v>
      </c>
      <c r="D403" s="788" t="s">
        <v>542</v>
      </c>
      <c r="E403" s="773" t="str">
        <f t="shared" si="546"/>
        <v>A</v>
      </c>
      <c r="F403" s="773" t="str">
        <f t="shared" si="546"/>
        <v>A</v>
      </c>
      <c r="G403" s="773" t="str">
        <f t="shared" si="546"/>
        <v>A</v>
      </c>
      <c r="H403" s="773"/>
      <c r="I403" s="773"/>
      <c r="J403" s="773"/>
      <c r="K403" s="773"/>
      <c r="L403" s="773" t="str">
        <f t="shared" si="547"/>
        <v>A</v>
      </c>
      <c r="M403" s="773" t="str">
        <f t="shared" si="547"/>
        <v>N</v>
      </c>
      <c r="N403" s="773" t="str">
        <f t="shared" si="547"/>
        <v>N</v>
      </c>
      <c r="O403" s="773"/>
      <c r="P403" s="773" t="str">
        <f t="shared" si="548"/>
        <v>A</v>
      </c>
      <c r="Q403" s="773" t="str">
        <f t="shared" si="548"/>
        <v>A</v>
      </c>
      <c r="R403" s="773" t="str">
        <f t="shared" si="548"/>
        <v>A</v>
      </c>
      <c r="S403" s="773" t="str">
        <f t="shared" si="549"/>
        <v>A</v>
      </c>
      <c r="T403" s="773" t="str">
        <f t="shared" si="550"/>
        <v>A</v>
      </c>
      <c r="U403" s="773" t="str">
        <f t="shared" si="551"/>
        <v>A</v>
      </c>
      <c r="V403" s="773" t="str">
        <f t="shared" si="552"/>
        <v>A</v>
      </c>
      <c r="W403" s="773" t="str">
        <f t="shared" si="553"/>
        <v>A</v>
      </c>
      <c r="X403" s="773" t="str">
        <f t="shared" si="554"/>
        <v>A</v>
      </c>
      <c r="Y403" s="773" t="str">
        <f t="shared" si="555"/>
        <v>A</v>
      </c>
      <c r="Z403" s="773" t="str">
        <f t="shared" si="556"/>
        <v>A</v>
      </c>
      <c r="AA403" s="773" t="str">
        <f t="shared" si="557"/>
        <v>A</v>
      </c>
      <c r="AB403" s="773" t="str">
        <f t="shared" si="558"/>
        <v>A</v>
      </c>
      <c r="AC403" s="773" t="str">
        <f t="shared" si="559"/>
        <v>A</v>
      </c>
      <c r="AD403" s="876"/>
      <c r="AE403" s="863"/>
      <c r="AF403" s="870"/>
      <c r="AG403" s="1019"/>
      <c r="AH403" s="802"/>
      <c r="AI403" s="803"/>
    </row>
    <row r="404" spans="1:51" hidden="1" outlineLevel="1" x14ac:dyDescent="0.3">
      <c r="A404" s="159"/>
      <c r="B404" s="1191"/>
      <c r="C404" s="740" t="str">
        <f>'Optimalizačné opatrenia'!$B$13</f>
        <v>Proaktivita</v>
      </c>
      <c r="D404" s="788" t="s">
        <v>542</v>
      </c>
      <c r="E404" s="773" t="str">
        <f t="shared" si="546"/>
        <v>N</v>
      </c>
      <c r="F404" s="773" t="str">
        <f t="shared" si="546"/>
        <v>A</v>
      </c>
      <c r="G404" s="773" t="str">
        <f t="shared" si="546"/>
        <v>N</v>
      </c>
      <c r="H404" s="773"/>
      <c r="I404" s="773"/>
      <c r="J404" s="773"/>
      <c r="K404" s="773"/>
      <c r="L404" s="773" t="str">
        <f t="shared" si="547"/>
        <v>A</v>
      </c>
      <c r="M404" s="773" t="str">
        <f t="shared" si="547"/>
        <v>N</v>
      </c>
      <c r="N404" s="773" t="str">
        <f t="shared" si="547"/>
        <v>N</v>
      </c>
      <c r="O404" s="773"/>
      <c r="P404" s="773" t="str">
        <f t="shared" si="548"/>
        <v>N</v>
      </c>
      <c r="Q404" s="773" t="str">
        <f t="shared" si="548"/>
        <v>N</v>
      </c>
      <c r="R404" s="773" t="str">
        <f t="shared" si="548"/>
        <v>A</v>
      </c>
      <c r="S404" s="773" t="str">
        <f t="shared" si="549"/>
        <v>A</v>
      </c>
      <c r="T404" s="773" t="str">
        <f t="shared" si="550"/>
        <v>A</v>
      </c>
      <c r="U404" s="773" t="str">
        <f t="shared" si="551"/>
        <v>N</v>
      </c>
      <c r="V404" s="773" t="str">
        <f t="shared" si="552"/>
        <v>A</v>
      </c>
      <c r="W404" s="773" t="str">
        <f t="shared" si="553"/>
        <v>N</v>
      </c>
      <c r="X404" s="773" t="str">
        <f t="shared" si="554"/>
        <v>N</v>
      </c>
      <c r="Y404" s="773" t="str">
        <f t="shared" si="555"/>
        <v>A</v>
      </c>
      <c r="Z404" s="773" t="str">
        <f t="shared" si="556"/>
        <v>A</v>
      </c>
      <c r="AA404" s="773" t="str">
        <f t="shared" si="557"/>
        <v>A</v>
      </c>
      <c r="AB404" s="773" t="str">
        <f t="shared" si="558"/>
        <v>N</v>
      </c>
      <c r="AC404" s="773" t="str">
        <f t="shared" si="559"/>
        <v>A</v>
      </c>
      <c r="AD404" s="876"/>
      <c r="AE404" s="863"/>
      <c r="AF404" s="870"/>
      <c r="AG404" s="1019"/>
      <c r="AH404" s="802"/>
      <c r="AI404" s="803"/>
    </row>
    <row r="405" spans="1:51" hidden="1" outlineLevel="1" x14ac:dyDescent="0.3">
      <c r="A405" s="159"/>
      <c r="B405" s="790"/>
      <c r="C405" s="792" t="s">
        <v>550</v>
      </c>
      <c r="D405" s="793">
        <v>0</v>
      </c>
      <c r="E405" s="791">
        <f t="shared" si="546"/>
        <v>0.2</v>
      </c>
      <c r="F405" s="794">
        <f t="shared" si="546"/>
        <v>0.4</v>
      </c>
      <c r="G405" s="794">
        <f t="shared" si="546"/>
        <v>0.3</v>
      </c>
      <c r="H405" s="794"/>
      <c r="I405" s="794"/>
      <c r="J405" s="794"/>
      <c r="K405" s="794"/>
      <c r="L405" s="794">
        <f t="shared" si="547"/>
        <v>0.4</v>
      </c>
      <c r="M405" s="794">
        <f t="shared" si="547"/>
        <v>0</v>
      </c>
      <c r="N405" s="794">
        <f t="shared" si="547"/>
        <v>0</v>
      </c>
      <c r="O405" s="794"/>
      <c r="P405" s="794">
        <f t="shared" si="548"/>
        <v>0.45</v>
      </c>
      <c r="Q405" s="794">
        <f t="shared" si="548"/>
        <v>0.3</v>
      </c>
      <c r="R405" s="794">
        <f t="shared" si="548"/>
        <v>0.4</v>
      </c>
      <c r="S405" s="794">
        <f t="shared" si="549"/>
        <v>0.4</v>
      </c>
      <c r="T405" s="794">
        <f t="shared" si="550"/>
        <v>0.4</v>
      </c>
      <c r="U405" s="794">
        <f t="shared" si="551"/>
        <v>0.3</v>
      </c>
      <c r="V405" s="794">
        <f t="shared" si="552"/>
        <v>0.5</v>
      </c>
      <c r="W405" s="794">
        <f t="shared" si="553"/>
        <v>0.3</v>
      </c>
      <c r="X405" s="794">
        <f t="shared" si="554"/>
        <v>0.3</v>
      </c>
      <c r="Y405" s="794">
        <f t="shared" si="555"/>
        <v>0.4</v>
      </c>
      <c r="Z405" s="794">
        <f t="shared" si="556"/>
        <v>0.4</v>
      </c>
      <c r="AA405" s="794">
        <f t="shared" si="557"/>
        <v>0.5</v>
      </c>
      <c r="AB405" s="794">
        <f t="shared" si="558"/>
        <v>0.3</v>
      </c>
      <c r="AC405" s="794">
        <f t="shared" si="559"/>
        <v>0.4</v>
      </c>
      <c r="AD405" s="877"/>
      <c r="AE405" s="864"/>
      <c r="AF405" s="871"/>
      <c r="AG405" s="1020"/>
      <c r="AH405" s="805"/>
      <c r="AI405" s="806"/>
    </row>
    <row r="406" spans="1:51" ht="28.8" collapsed="1" x14ac:dyDescent="0.3">
      <c r="A406" s="159">
        <f ca="1">OFFSET(A406,-14,0)+1</f>
        <v>29</v>
      </c>
      <c r="B406" s="234" t="str">
        <f ca="1">'Procesy - AS IS'!B98</f>
        <v>Meranie č. 29</v>
      </c>
      <c r="C406" s="718" t="str">
        <f>'Procesy - AS IS'!C98</f>
        <v xml:space="preserve">Drogéria u Spuchláka, Malacky, Environmentálne označovanie, </v>
      </c>
      <c r="D406" s="796">
        <f>-'Procesy - AS IS'!D100*D419</f>
        <v>0</v>
      </c>
      <c r="E406" s="721">
        <f>-'Procesy - AS IS'!E100*E419</f>
        <v>-1.6</v>
      </c>
      <c r="F406" s="721">
        <f>-'Procesy - AS IS'!F100*F419</f>
        <v>0</v>
      </c>
      <c r="G406" s="721">
        <f>-'Procesy - AS IS'!G100*G419</f>
        <v>-3.5999999999999996</v>
      </c>
      <c r="H406" s="721" t="s">
        <v>568</v>
      </c>
      <c r="I406" s="721" t="s">
        <v>568</v>
      </c>
      <c r="J406" s="721" t="s">
        <v>568</v>
      </c>
      <c r="K406" s="721" t="s">
        <v>568</v>
      </c>
      <c r="L406" s="721">
        <f>-'Procesy - AS IS'!L100*L419</f>
        <v>-1.6</v>
      </c>
      <c r="M406" s="721">
        <f>-'Procesy - AS IS'!M100*M419</f>
        <v>0</v>
      </c>
      <c r="N406" s="721" t="s">
        <v>570</v>
      </c>
      <c r="O406" s="721" t="s">
        <v>572</v>
      </c>
      <c r="P406" s="721">
        <f>-'Procesy - AS IS'!P100*P419</f>
        <v>-3.6</v>
      </c>
      <c r="Q406" s="721">
        <f>-'Procesy - AS IS'!Q100*Q419</f>
        <v>0</v>
      </c>
      <c r="R406" s="721">
        <f>-'Procesy - AS IS'!R100*R419</f>
        <v>0</v>
      </c>
      <c r="S406" s="721">
        <f>-'Procesy - AS IS'!S100*S419</f>
        <v>-3.2</v>
      </c>
      <c r="T406" s="721">
        <f>-'Procesy - AS IS'!T100*T419</f>
        <v>0</v>
      </c>
      <c r="U406" s="721">
        <f>-'Procesy - AS IS'!U100*U419</f>
        <v>0</v>
      </c>
      <c r="V406" s="721">
        <f>-'Procesy - AS IS'!V100*V419</f>
        <v>-1.94</v>
      </c>
      <c r="W406" s="721">
        <f>-'Procesy - AS IS'!W100*W419</f>
        <v>0</v>
      </c>
      <c r="X406" s="721">
        <f>-'Procesy - AS IS'!X100*X419</f>
        <v>0</v>
      </c>
      <c r="Y406" s="721">
        <f>-'Procesy - AS IS'!Y100*Y419</f>
        <v>0</v>
      </c>
      <c r="Z406" s="721">
        <f>-'Procesy - AS IS'!Z100*Z419</f>
        <v>0</v>
      </c>
      <c r="AA406" s="721">
        <f>-'Procesy - AS IS'!AA100*AA419</f>
        <v>0</v>
      </c>
      <c r="AB406" s="721">
        <f>-'Procesy - AS IS'!AB100*AB419</f>
        <v>0</v>
      </c>
      <c r="AC406" s="721">
        <f>-'Procesy - AS IS'!AC100*AC419</f>
        <v>0</v>
      </c>
      <c r="AD406" s="824">
        <f>SUM(D406:AC406)</f>
        <v>-15.539999999999997</v>
      </c>
      <c r="AE406" s="798">
        <f>AD406/'Procesy - AS IS'!AD100</f>
        <v>-0.35414767547857784</v>
      </c>
      <c r="AF406" s="869">
        <f>('Procesy - AS IS'!AG97/(1+$AE406)-'Procesy - AS IS'!AG97)/2</f>
        <v>11.515172900493994</v>
      </c>
      <c r="AG406" s="1018">
        <f>('Procesy - AS IS'!AH97/(1+$AE406)-'Procesy - AS IS'!AH97)/2</f>
        <v>0</v>
      </c>
      <c r="AH406" s="800">
        <f>('Procesy - AS IS'!AI97/(1+$AE406)-'Procesy - AS IS'!AI97)/2</f>
        <v>0</v>
      </c>
      <c r="AI406" s="801">
        <f>('Procesy - AS IS'!AJ97/(1+$AE406)-'Procesy - AS IS'!AJ97)/2</f>
        <v>0</v>
      </c>
      <c r="AK406" s="232"/>
      <c r="AY406" s="227"/>
    </row>
    <row r="407" spans="1:51" hidden="1" outlineLevel="1" x14ac:dyDescent="0.3">
      <c r="A407" s="159"/>
      <c r="B407" s="1190" t="s">
        <v>540</v>
      </c>
      <c r="C407" s="735" t="str">
        <f>'Optimalizačné opatrenia'!$B$2</f>
        <v>Modernizácia</v>
      </c>
      <c r="D407" s="773" t="s">
        <v>542</v>
      </c>
      <c r="E407" s="742" t="str">
        <f t="shared" ref="E407:F419" si="560">E351</f>
        <v>A</v>
      </c>
      <c r="F407" s="773" t="str">
        <f t="shared" si="560"/>
        <v>A</v>
      </c>
      <c r="G407" s="773" t="str">
        <f t="shared" ref="G407:G419" si="561">G393</f>
        <v>A</v>
      </c>
      <c r="H407" s="773"/>
      <c r="I407" s="773"/>
      <c r="J407" s="773"/>
      <c r="K407" s="773"/>
      <c r="L407" s="773" t="str">
        <f t="shared" ref="L407:N419" si="562">L393</f>
        <v>A</v>
      </c>
      <c r="M407" s="773" t="str">
        <f t="shared" si="562"/>
        <v>N</v>
      </c>
      <c r="N407" s="773" t="str">
        <f t="shared" si="562"/>
        <v>N</v>
      </c>
      <c r="O407" s="773"/>
      <c r="P407" s="773" t="str">
        <f t="shared" ref="P407:Q419" si="563">P351</f>
        <v>A</v>
      </c>
      <c r="Q407" s="773" t="str">
        <f t="shared" si="563"/>
        <v>A</v>
      </c>
      <c r="R407" s="773" t="str">
        <f t="shared" ref="R407:R419" si="564">R393</f>
        <v>A</v>
      </c>
      <c r="S407" s="773" t="str">
        <f t="shared" ref="S407:S419" si="565">R407</f>
        <v>A</v>
      </c>
      <c r="T407" s="773" t="str">
        <f t="shared" ref="T407:T419" si="566">R351</f>
        <v>A</v>
      </c>
      <c r="U407" s="773" t="str">
        <f t="shared" ref="U407:U419" si="567">$G407</f>
        <v>A</v>
      </c>
      <c r="V407" s="773" t="str">
        <f t="shared" ref="V407:V419" si="568">V351</f>
        <v>A</v>
      </c>
      <c r="W407" s="773" t="str">
        <f t="shared" ref="W407:W419" si="569">W7</f>
        <v>A</v>
      </c>
      <c r="X407" s="773" t="str">
        <f t="shared" ref="X407:X419" si="570">$G407</f>
        <v>A</v>
      </c>
      <c r="Y407" s="773" t="str">
        <f t="shared" ref="Y407:Y419" si="571">$R407</f>
        <v>A</v>
      </c>
      <c r="Z407" s="773" t="str">
        <f t="shared" ref="Z407:Z419" si="572">R351</f>
        <v>A</v>
      </c>
      <c r="AA407" s="773" t="str">
        <f t="shared" ref="AA407:AA419" si="573">$V407</f>
        <v>A</v>
      </c>
      <c r="AB407" s="773" t="str">
        <f t="shared" ref="AB407:AC419" si="574">$R407</f>
        <v>A</v>
      </c>
      <c r="AC407" s="773" t="str">
        <f t="shared" si="574"/>
        <v>A</v>
      </c>
      <c r="AD407" s="876"/>
      <c r="AE407" s="863"/>
      <c r="AF407" s="870"/>
      <c r="AG407" s="1019"/>
      <c r="AH407" s="802"/>
      <c r="AI407" s="803"/>
    </row>
    <row r="408" spans="1:51" hidden="1" outlineLevel="1" x14ac:dyDescent="0.3">
      <c r="A408" s="159"/>
      <c r="B408" s="1191"/>
      <c r="C408" s="735" t="str">
        <f>'Optimalizačné opatrenia'!$B$3</f>
        <v>Sfunkčnenie</v>
      </c>
      <c r="D408" s="788" t="s">
        <v>542</v>
      </c>
      <c r="E408" s="773" t="str">
        <f t="shared" si="560"/>
        <v>N</v>
      </c>
      <c r="F408" s="773" t="str">
        <f t="shared" si="560"/>
        <v>N</v>
      </c>
      <c r="G408" s="773" t="str">
        <f t="shared" si="561"/>
        <v>N</v>
      </c>
      <c r="H408" s="773"/>
      <c r="I408" s="773"/>
      <c r="J408" s="773"/>
      <c r="K408" s="773"/>
      <c r="L408" s="773" t="str">
        <f t="shared" si="562"/>
        <v>N</v>
      </c>
      <c r="M408" s="773" t="str">
        <f t="shared" si="562"/>
        <v>N</v>
      </c>
      <c r="N408" s="773" t="str">
        <f t="shared" si="562"/>
        <v>N</v>
      </c>
      <c r="O408" s="773"/>
      <c r="P408" s="773" t="str">
        <f t="shared" si="563"/>
        <v>N</v>
      </c>
      <c r="Q408" s="773" t="str">
        <f t="shared" si="563"/>
        <v>N</v>
      </c>
      <c r="R408" s="773" t="str">
        <f t="shared" si="564"/>
        <v>N</v>
      </c>
      <c r="S408" s="773" t="str">
        <f t="shared" si="565"/>
        <v>N</v>
      </c>
      <c r="T408" s="773" t="str">
        <f t="shared" si="566"/>
        <v>N</v>
      </c>
      <c r="U408" s="773" t="str">
        <f t="shared" si="567"/>
        <v>N</v>
      </c>
      <c r="V408" s="773" t="str">
        <f t="shared" si="568"/>
        <v>N</v>
      </c>
      <c r="W408" s="773" t="str">
        <f t="shared" si="569"/>
        <v>N</v>
      </c>
      <c r="X408" s="773" t="str">
        <f t="shared" si="570"/>
        <v>N</v>
      </c>
      <c r="Y408" s="773" t="str">
        <f t="shared" si="571"/>
        <v>N</v>
      </c>
      <c r="Z408" s="773" t="str">
        <f t="shared" si="572"/>
        <v>N</v>
      </c>
      <c r="AA408" s="773" t="str">
        <f t="shared" si="573"/>
        <v>N</v>
      </c>
      <c r="AB408" s="773" t="str">
        <f t="shared" si="574"/>
        <v>N</v>
      </c>
      <c r="AC408" s="773" t="str">
        <f t="shared" si="574"/>
        <v>N</v>
      </c>
      <c r="AD408" s="876"/>
      <c r="AE408" s="863"/>
      <c r="AF408" s="870"/>
      <c r="AG408" s="1019"/>
      <c r="AH408" s="802"/>
      <c r="AI408" s="803"/>
    </row>
    <row r="409" spans="1:51" hidden="1" outlineLevel="1" x14ac:dyDescent="0.3">
      <c r="A409" s="159"/>
      <c r="B409" s="1191"/>
      <c r="C409" s="735" t="str">
        <f>'Optimalizačné opatrenia'!$B$4</f>
        <v>Zjednotenie</v>
      </c>
      <c r="D409" s="788" t="s">
        <v>542</v>
      </c>
      <c r="E409" s="773" t="str">
        <f t="shared" si="560"/>
        <v>N</v>
      </c>
      <c r="F409" s="773" t="str">
        <f t="shared" si="560"/>
        <v>A</v>
      </c>
      <c r="G409" s="773" t="str">
        <f t="shared" si="561"/>
        <v>A</v>
      </c>
      <c r="H409" s="773"/>
      <c r="I409" s="773"/>
      <c r="J409" s="773"/>
      <c r="K409" s="773"/>
      <c r="L409" s="773" t="str">
        <f t="shared" si="562"/>
        <v>A</v>
      </c>
      <c r="M409" s="773" t="str">
        <f t="shared" si="562"/>
        <v>N</v>
      </c>
      <c r="N409" s="773" t="str">
        <f t="shared" si="562"/>
        <v>N</v>
      </c>
      <c r="O409" s="773"/>
      <c r="P409" s="773" t="str">
        <f t="shared" si="563"/>
        <v>A</v>
      </c>
      <c r="Q409" s="773" t="str">
        <f t="shared" si="563"/>
        <v>A</v>
      </c>
      <c r="R409" s="773" t="str">
        <f t="shared" si="564"/>
        <v>A</v>
      </c>
      <c r="S409" s="773" t="str">
        <f t="shared" si="565"/>
        <v>A</v>
      </c>
      <c r="T409" s="773" t="str">
        <f t="shared" si="566"/>
        <v>A</v>
      </c>
      <c r="U409" s="773" t="str">
        <f t="shared" si="567"/>
        <v>A</v>
      </c>
      <c r="V409" s="773" t="str">
        <f t="shared" si="568"/>
        <v>A</v>
      </c>
      <c r="W409" s="773" t="str">
        <f t="shared" si="569"/>
        <v>A</v>
      </c>
      <c r="X409" s="773" t="str">
        <f t="shared" si="570"/>
        <v>A</v>
      </c>
      <c r="Y409" s="773" t="str">
        <f t="shared" si="571"/>
        <v>A</v>
      </c>
      <c r="Z409" s="773" t="str">
        <f t="shared" si="572"/>
        <v>A</v>
      </c>
      <c r="AA409" s="773" t="str">
        <f t="shared" si="573"/>
        <v>A</v>
      </c>
      <c r="AB409" s="773" t="str">
        <f t="shared" si="574"/>
        <v>A</v>
      </c>
      <c r="AC409" s="773" t="str">
        <f t="shared" si="574"/>
        <v>A</v>
      </c>
      <c r="AD409" s="876"/>
      <c r="AE409" s="863"/>
      <c r="AF409" s="870"/>
      <c r="AG409" s="1019"/>
      <c r="AH409" s="802"/>
      <c r="AI409" s="803"/>
    </row>
    <row r="410" spans="1:51" hidden="1" outlineLevel="1" x14ac:dyDescent="0.3">
      <c r="A410" s="159"/>
      <c r="B410" s="1191"/>
      <c r="C410" s="735" t="str">
        <f>'Optimalizačné opatrenia'!$B$5</f>
        <v>Centralizácia</v>
      </c>
      <c r="D410" s="788" t="s">
        <v>542</v>
      </c>
      <c r="E410" s="773" t="str">
        <f t="shared" si="560"/>
        <v>N</v>
      </c>
      <c r="F410" s="773" t="str">
        <f t="shared" si="560"/>
        <v>A</v>
      </c>
      <c r="G410" s="773" t="str">
        <f t="shared" si="561"/>
        <v>A</v>
      </c>
      <c r="H410" s="773"/>
      <c r="I410" s="773"/>
      <c r="J410" s="773"/>
      <c r="K410" s="773"/>
      <c r="L410" s="773" t="str">
        <f t="shared" si="562"/>
        <v>A</v>
      </c>
      <c r="M410" s="773" t="str">
        <f t="shared" si="562"/>
        <v>N</v>
      </c>
      <c r="N410" s="773" t="str">
        <f t="shared" si="562"/>
        <v>N</v>
      </c>
      <c r="O410" s="773"/>
      <c r="P410" s="773" t="str">
        <f t="shared" si="563"/>
        <v>A</v>
      </c>
      <c r="Q410" s="773" t="str">
        <f t="shared" si="563"/>
        <v>A</v>
      </c>
      <c r="R410" s="773" t="str">
        <f t="shared" si="564"/>
        <v>A</v>
      </c>
      <c r="S410" s="773" t="str">
        <f t="shared" si="565"/>
        <v>A</v>
      </c>
      <c r="T410" s="773" t="str">
        <f t="shared" si="566"/>
        <v>A</v>
      </c>
      <c r="U410" s="773" t="str">
        <f t="shared" si="567"/>
        <v>A</v>
      </c>
      <c r="V410" s="773" t="str">
        <f t="shared" si="568"/>
        <v>A</v>
      </c>
      <c r="W410" s="773" t="str">
        <f t="shared" si="569"/>
        <v>A</v>
      </c>
      <c r="X410" s="773" t="str">
        <f t="shared" si="570"/>
        <v>A</v>
      </c>
      <c r="Y410" s="773" t="str">
        <f t="shared" si="571"/>
        <v>A</v>
      </c>
      <c r="Z410" s="773" t="str">
        <f t="shared" si="572"/>
        <v>A</v>
      </c>
      <c r="AA410" s="773" t="str">
        <f t="shared" si="573"/>
        <v>A</v>
      </c>
      <c r="AB410" s="773" t="str">
        <f t="shared" si="574"/>
        <v>A</v>
      </c>
      <c r="AC410" s="773" t="str">
        <f t="shared" si="574"/>
        <v>A</v>
      </c>
      <c r="AD410" s="876"/>
      <c r="AE410" s="863"/>
      <c r="AF410" s="870"/>
      <c r="AG410" s="1019"/>
      <c r="AH410" s="802"/>
      <c r="AI410" s="803"/>
    </row>
    <row r="411" spans="1:51" hidden="1" outlineLevel="1" x14ac:dyDescent="0.3">
      <c r="A411" s="159"/>
      <c r="B411" s="1191"/>
      <c r="C411" s="735" t="str">
        <f>'Optimalizačné opatrenia'!$B$6</f>
        <v>Elektronizácia</v>
      </c>
      <c r="D411" s="788" t="s">
        <v>542</v>
      </c>
      <c r="E411" s="773" t="str">
        <f t="shared" si="560"/>
        <v>A</v>
      </c>
      <c r="F411" s="773" t="str">
        <f t="shared" si="560"/>
        <v>A</v>
      </c>
      <c r="G411" s="773" t="str">
        <f t="shared" si="561"/>
        <v>A</v>
      </c>
      <c r="H411" s="773"/>
      <c r="I411" s="773"/>
      <c r="J411" s="773"/>
      <c r="K411" s="773"/>
      <c r="L411" s="773" t="str">
        <f t="shared" si="562"/>
        <v>A</v>
      </c>
      <c r="M411" s="773" t="str">
        <f t="shared" si="562"/>
        <v>N</v>
      </c>
      <c r="N411" s="773" t="str">
        <f t="shared" si="562"/>
        <v>N</v>
      </c>
      <c r="O411" s="773"/>
      <c r="P411" s="773" t="str">
        <f t="shared" si="563"/>
        <v>A</v>
      </c>
      <c r="Q411" s="773" t="str">
        <f t="shared" si="563"/>
        <v>A</v>
      </c>
      <c r="R411" s="773" t="str">
        <f t="shared" si="564"/>
        <v>A</v>
      </c>
      <c r="S411" s="773" t="str">
        <f t="shared" si="565"/>
        <v>A</v>
      </c>
      <c r="T411" s="773" t="str">
        <f t="shared" si="566"/>
        <v>A</v>
      </c>
      <c r="U411" s="773" t="str">
        <f t="shared" si="567"/>
        <v>A</v>
      </c>
      <c r="V411" s="773" t="str">
        <f t="shared" si="568"/>
        <v>A</v>
      </c>
      <c r="W411" s="773" t="str">
        <f t="shared" si="569"/>
        <v>A</v>
      </c>
      <c r="X411" s="773" t="str">
        <f t="shared" si="570"/>
        <v>A</v>
      </c>
      <c r="Y411" s="773" t="str">
        <f t="shared" si="571"/>
        <v>A</v>
      </c>
      <c r="Z411" s="773" t="str">
        <f t="shared" si="572"/>
        <v>A</v>
      </c>
      <c r="AA411" s="773" t="str">
        <f t="shared" si="573"/>
        <v>A</v>
      </c>
      <c r="AB411" s="773" t="str">
        <f t="shared" si="574"/>
        <v>A</v>
      </c>
      <c r="AC411" s="773" t="str">
        <f t="shared" si="574"/>
        <v>A</v>
      </c>
      <c r="AD411" s="876"/>
      <c r="AE411" s="863"/>
      <c r="AF411" s="870"/>
      <c r="AG411" s="1019"/>
      <c r="AH411" s="802"/>
      <c r="AI411" s="803"/>
    </row>
    <row r="412" spans="1:51" hidden="1" outlineLevel="1" x14ac:dyDescent="0.3">
      <c r="A412" s="159"/>
      <c r="B412" s="1191"/>
      <c r="C412" s="735" t="str">
        <f>'Optimalizačné opatrenia'!$B$7</f>
        <v>Automatizácia</v>
      </c>
      <c r="D412" s="788" t="s">
        <v>542</v>
      </c>
      <c r="E412" s="773" t="str">
        <f t="shared" si="560"/>
        <v>A</v>
      </c>
      <c r="F412" s="773" t="str">
        <f t="shared" si="560"/>
        <v>A</v>
      </c>
      <c r="G412" s="773" t="str">
        <f t="shared" si="561"/>
        <v>A</v>
      </c>
      <c r="H412" s="773"/>
      <c r="I412" s="773"/>
      <c r="J412" s="773"/>
      <c r="K412" s="773"/>
      <c r="L412" s="773" t="str">
        <f t="shared" si="562"/>
        <v>A</v>
      </c>
      <c r="M412" s="773" t="str">
        <f t="shared" si="562"/>
        <v>N</v>
      </c>
      <c r="N412" s="773" t="str">
        <f t="shared" si="562"/>
        <v>N</v>
      </c>
      <c r="O412" s="773"/>
      <c r="P412" s="773" t="str">
        <f t="shared" si="563"/>
        <v>A</v>
      </c>
      <c r="Q412" s="773" t="str">
        <f t="shared" si="563"/>
        <v>A</v>
      </c>
      <c r="R412" s="773" t="str">
        <f t="shared" si="564"/>
        <v>A</v>
      </c>
      <c r="S412" s="773" t="str">
        <f t="shared" si="565"/>
        <v>A</v>
      </c>
      <c r="T412" s="773" t="str">
        <f t="shared" si="566"/>
        <v>A</v>
      </c>
      <c r="U412" s="773" t="str">
        <f t="shared" si="567"/>
        <v>A</v>
      </c>
      <c r="V412" s="773" t="str">
        <f t="shared" si="568"/>
        <v>A</v>
      </c>
      <c r="W412" s="773" t="str">
        <f t="shared" si="569"/>
        <v>A</v>
      </c>
      <c r="X412" s="773" t="str">
        <f t="shared" si="570"/>
        <v>A</v>
      </c>
      <c r="Y412" s="773" t="str">
        <f t="shared" si="571"/>
        <v>A</v>
      </c>
      <c r="Z412" s="773" t="str">
        <f t="shared" si="572"/>
        <v>A</v>
      </c>
      <c r="AA412" s="773" t="str">
        <f t="shared" si="573"/>
        <v>A</v>
      </c>
      <c r="AB412" s="773" t="str">
        <f t="shared" si="574"/>
        <v>A</v>
      </c>
      <c r="AC412" s="773" t="str">
        <f t="shared" si="574"/>
        <v>A</v>
      </c>
      <c r="AD412" s="876"/>
      <c r="AE412" s="863"/>
      <c r="AF412" s="870"/>
      <c r="AG412" s="1019"/>
      <c r="AH412" s="802"/>
      <c r="AI412" s="803"/>
    </row>
    <row r="413" spans="1:51" hidden="1" outlineLevel="1" x14ac:dyDescent="0.3">
      <c r="A413" s="159"/>
      <c r="B413" s="1191"/>
      <c r="C413" s="735" t="str">
        <f>'Optimalizačné opatrenia'!$B$8</f>
        <v>Bezpečnosť</v>
      </c>
      <c r="D413" s="788" t="s">
        <v>542</v>
      </c>
      <c r="E413" s="773" t="str">
        <f t="shared" si="560"/>
        <v>N</v>
      </c>
      <c r="F413" s="773" t="str">
        <f t="shared" si="560"/>
        <v>A</v>
      </c>
      <c r="G413" s="773" t="str">
        <f t="shared" si="561"/>
        <v>A</v>
      </c>
      <c r="H413" s="773"/>
      <c r="I413" s="773"/>
      <c r="J413" s="773"/>
      <c r="K413" s="773"/>
      <c r="L413" s="773" t="str">
        <f t="shared" si="562"/>
        <v>A</v>
      </c>
      <c r="M413" s="773" t="str">
        <f t="shared" si="562"/>
        <v>N</v>
      </c>
      <c r="N413" s="773" t="str">
        <f t="shared" si="562"/>
        <v>N</v>
      </c>
      <c r="O413" s="773"/>
      <c r="P413" s="773" t="str">
        <f t="shared" si="563"/>
        <v>A</v>
      </c>
      <c r="Q413" s="773" t="str">
        <f t="shared" si="563"/>
        <v>A</v>
      </c>
      <c r="R413" s="773" t="str">
        <f t="shared" si="564"/>
        <v>A</v>
      </c>
      <c r="S413" s="773" t="str">
        <f t="shared" si="565"/>
        <v>A</v>
      </c>
      <c r="T413" s="773" t="str">
        <f t="shared" si="566"/>
        <v>A</v>
      </c>
      <c r="U413" s="773" t="str">
        <f t="shared" si="567"/>
        <v>A</v>
      </c>
      <c r="V413" s="773" t="str">
        <f t="shared" si="568"/>
        <v>A</v>
      </c>
      <c r="W413" s="773" t="str">
        <f t="shared" si="569"/>
        <v>A</v>
      </c>
      <c r="X413" s="773" t="str">
        <f t="shared" si="570"/>
        <v>A</v>
      </c>
      <c r="Y413" s="773" t="str">
        <f t="shared" si="571"/>
        <v>A</v>
      </c>
      <c r="Z413" s="773" t="str">
        <f t="shared" si="572"/>
        <v>A</v>
      </c>
      <c r="AA413" s="773" t="str">
        <f t="shared" si="573"/>
        <v>A</v>
      </c>
      <c r="AB413" s="773" t="str">
        <f t="shared" si="574"/>
        <v>A</v>
      </c>
      <c r="AC413" s="773" t="str">
        <f t="shared" si="574"/>
        <v>A</v>
      </c>
      <c r="AD413" s="876"/>
      <c r="AE413" s="863"/>
      <c r="AF413" s="870"/>
      <c r="AG413" s="1019"/>
      <c r="AH413" s="802"/>
      <c r="AI413" s="803"/>
    </row>
    <row r="414" spans="1:51" hidden="1" outlineLevel="1" x14ac:dyDescent="0.3">
      <c r="A414" s="159"/>
      <c r="B414" s="1191"/>
      <c r="C414" s="735" t="str">
        <f>'Optimalizačné opatrenia'!$B$9</f>
        <v>Auditovateľnosť</v>
      </c>
      <c r="D414" s="788" t="s">
        <v>542</v>
      </c>
      <c r="E414" s="773" t="str">
        <f t="shared" si="560"/>
        <v>A</v>
      </c>
      <c r="F414" s="773" t="str">
        <f t="shared" si="560"/>
        <v>A</v>
      </c>
      <c r="G414" s="773" t="str">
        <f t="shared" si="561"/>
        <v>A</v>
      </c>
      <c r="H414" s="773"/>
      <c r="I414" s="773"/>
      <c r="J414" s="773"/>
      <c r="K414" s="773"/>
      <c r="L414" s="773" t="str">
        <f t="shared" si="562"/>
        <v>A</v>
      </c>
      <c r="M414" s="773" t="str">
        <f t="shared" si="562"/>
        <v>N</v>
      </c>
      <c r="N414" s="773" t="str">
        <f t="shared" si="562"/>
        <v>N</v>
      </c>
      <c r="O414" s="773"/>
      <c r="P414" s="773" t="str">
        <f t="shared" si="563"/>
        <v>A</v>
      </c>
      <c r="Q414" s="773" t="str">
        <f t="shared" si="563"/>
        <v>A</v>
      </c>
      <c r="R414" s="773" t="str">
        <f t="shared" si="564"/>
        <v>A</v>
      </c>
      <c r="S414" s="773" t="str">
        <f t="shared" si="565"/>
        <v>A</v>
      </c>
      <c r="T414" s="773" t="str">
        <f t="shared" si="566"/>
        <v>A</v>
      </c>
      <c r="U414" s="773" t="str">
        <f t="shared" si="567"/>
        <v>A</v>
      </c>
      <c r="V414" s="773" t="str">
        <f t="shared" si="568"/>
        <v>A</v>
      </c>
      <c r="W414" s="773" t="str">
        <f t="shared" si="569"/>
        <v>A</v>
      </c>
      <c r="X414" s="773" t="str">
        <f t="shared" si="570"/>
        <v>A</v>
      </c>
      <c r="Y414" s="773" t="str">
        <f t="shared" si="571"/>
        <v>A</v>
      </c>
      <c r="Z414" s="773" t="str">
        <f t="shared" si="572"/>
        <v>A</v>
      </c>
      <c r="AA414" s="773" t="str">
        <f t="shared" si="573"/>
        <v>A</v>
      </c>
      <c r="AB414" s="773" t="str">
        <f t="shared" si="574"/>
        <v>A</v>
      </c>
      <c r="AC414" s="773" t="str">
        <f t="shared" si="574"/>
        <v>A</v>
      </c>
      <c r="AD414" s="876"/>
      <c r="AE414" s="863"/>
      <c r="AF414" s="870"/>
      <c r="AG414" s="1019"/>
      <c r="AH414" s="802"/>
      <c r="AI414" s="803"/>
    </row>
    <row r="415" spans="1:51" hidden="1" outlineLevel="1" x14ac:dyDescent="0.3">
      <c r="A415" s="159"/>
      <c r="B415" s="1191"/>
      <c r="C415" s="735" t="str">
        <f>'Optimalizačné opatrenia'!$B$10</f>
        <v>Transparentnosť</v>
      </c>
      <c r="D415" s="788" t="s">
        <v>542</v>
      </c>
      <c r="E415" s="773" t="str">
        <f t="shared" si="560"/>
        <v>N</v>
      </c>
      <c r="F415" s="773" t="str">
        <f t="shared" si="560"/>
        <v>N</v>
      </c>
      <c r="G415" s="773" t="str">
        <f t="shared" si="561"/>
        <v>N</v>
      </c>
      <c r="H415" s="773"/>
      <c r="I415" s="773"/>
      <c r="J415" s="773"/>
      <c r="K415" s="773"/>
      <c r="L415" s="773" t="str">
        <f t="shared" si="562"/>
        <v>N</v>
      </c>
      <c r="M415" s="773" t="str">
        <f t="shared" si="562"/>
        <v>N</v>
      </c>
      <c r="N415" s="773" t="str">
        <f t="shared" si="562"/>
        <v>N</v>
      </c>
      <c r="O415" s="773"/>
      <c r="P415" s="773" t="str">
        <f t="shared" si="563"/>
        <v>A</v>
      </c>
      <c r="Q415" s="773" t="str">
        <f t="shared" si="563"/>
        <v>N</v>
      </c>
      <c r="R415" s="773" t="str">
        <f t="shared" si="564"/>
        <v>N</v>
      </c>
      <c r="S415" s="773" t="str">
        <f t="shared" si="565"/>
        <v>N</v>
      </c>
      <c r="T415" s="773" t="str">
        <f t="shared" si="566"/>
        <v>N</v>
      </c>
      <c r="U415" s="773" t="str">
        <f t="shared" si="567"/>
        <v>N</v>
      </c>
      <c r="V415" s="773" t="str">
        <f t="shared" si="568"/>
        <v>A</v>
      </c>
      <c r="W415" s="773" t="str">
        <f t="shared" si="569"/>
        <v>N</v>
      </c>
      <c r="X415" s="773" t="str">
        <f t="shared" si="570"/>
        <v>N</v>
      </c>
      <c r="Y415" s="773" t="str">
        <f t="shared" si="571"/>
        <v>N</v>
      </c>
      <c r="Z415" s="773" t="str">
        <f t="shared" si="572"/>
        <v>N</v>
      </c>
      <c r="AA415" s="773" t="str">
        <f t="shared" si="573"/>
        <v>A</v>
      </c>
      <c r="AB415" s="773" t="str">
        <f t="shared" si="574"/>
        <v>N</v>
      </c>
      <c r="AC415" s="773" t="str">
        <f t="shared" si="574"/>
        <v>N</v>
      </c>
      <c r="AD415" s="876"/>
      <c r="AE415" s="863"/>
      <c r="AF415" s="870"/>
      <c r="AG415" s="1019"/>
      <c r="AH415" s="802"/>
      <c r="AI415" s="803"/>
    </row>
    <row r="416" spans="1:51" hidden="1" outlineLevel="1" x14ac:dyDescent="0.3">
      <c r="A416" s="159"/>
      <c r="B416" s="1191"/>
      <c r="C416" s="735" t="str">
        <f>'Optimalizačné opatrenia'!$B$11</f>
        <v>Analyzovatelnosť</v>
      </c>
      <c r="D416" s="788" t="s">
        <v>542</v>
      </c>
      <c r="E416" s="773" t="str">
        <f t="shared" si="560"/>
        <v>N</v>
      </c>
      <c r="F416" s="773" t="str">
        <f t="shared" si="560"/>
        <v>A</v>
      </c>
      <c r="G416" s="773" t="str">
        <f t="shared" si="561"/>
        <v>A</v>
      </c>
      <c r="H416" s="773"/>
      <c r="I416" s="773"/>
      <c r="J416" s="773"/>
      <c r="K416" s="773"/>
      <c r="L416" s="773" t="str">
        <f t="shared" si="562"/>
        <v>A</v>
      </c>
      <c r="M416" s="773" t="str">
        <f t="shared" si="562"/>
        <v>N</v>
      </c>
      <c r="N416" s="773" t="str">
        <f t="shared" si="562"/>
        <v>N</v>
      </c>
      <c r="O416" s="773"/>
      <c r="P416" s="773" t="str">
        <f t="shared" si="563"/>
        <v>A</v>
      </c>
      <c r="Q416" s="773" t="str">
        <f t="shared" si="563"/>
        <v>A</v>
      </c>
      <c r="R416" s="773" t="str">
        <f t="shared" si="564"/>
        <v>A</v>
      </c>
      <c r="S416" s="773" t="str">
        <f t="shared" si="565"/>
        <v>A</v>
      </c>
      <c r="T416" s="773" t="str">
        <f t="shared" si="566"/>
        <v>A</v>
      </c>
      <c r="U416" s="773" t="str">
        <f t="shared" si="567"/>
        <v>A</v>
      </c>
      <c r="V416" s="773" t="str">
        <f t="shared" si="568"/>
        <v>A</v>
      </c>
      <c r="W416" s="773" t="str">
        <f t="shared" si="569"/>
        <v>A</v>
      </c>
      <c r="X416" s="773" t="str">
        <f t="shared" si="570"/>
        <v>A</v>
      </c>
      <c r="Y416" s="773" t="str">
        <f t="shared" si="571"/>
        <v>A</v>
      </c>
      <c r="Z416" s="773" t="str">
        <f t="shared" si="572"/>
        <v>A</v>
      </c>
      <c r="AA416" s="773" t="str">
        <f t="shared" si="573"/>
        <v>A</v>
      </c>
      <c r="AB416" s="773" t="str">
        <f t="shared" si="574"/>
        <v>A</v>
      </c>
      <c r="AC416" s="773" t="str">
        <f t="shared" si="574"/>
        <v>A</v>
      </c>
      <c r="AD416" s="876"/>
      <c r="AE416" s="863"/>
      <c r="AF416" s="870"/>
      <c r="AG416" s="1019"/>
      <c r="AH416" s="802"/>
      <c r="AI416" s="803"/>
    </row>
    <row r="417" spans="1:51" hidden="1" outlineLevel="1" x14ac:dyDescent="0.3">
      <c r="A417" s="159"/>
      <c r="B417" s="1191"/>
      <c r="C417" s="735" t="str">
        <f>'Optimalizačné opatrenia'!$B$12</f>
        <v>Integrácia</v>
      </c>
      <c r="D417" s="788" t="s">
        <v>542</v>
      </c>
      <c r="E417" s="773" t="str">
        <f t="shared" si="560"/>
        <v>A</v>
      </c>
      <c r="F417" s="773" t="str">
        <f t="shared" si="560"/>
        <v>A</v>
      </c>
      <c r="G417" s="773" t="str">
        <f t="shared" si="561"/>
        <v>A</v>
      </c>
      <c r="H417" s="773"/>
      <c r="I417" s="773"/>
      <c r="J417" s="773"/>
      <c r="K417" s="773"/>
      <c r="L417" s="773" t="str">
        <f t="shared" si="562"/>
        <v>A</v>
      </c>
      <c r="M417" s="773" t="str">
        <f t="shared" si="562"/>
        <v>N</v>
      </c>
      <c r="N417" s="773" t="str">
        <f t="shared" si="562"/>
        <v>N</v>
      </c>
      <c r="O417" s="773"/>
      <c r="P417" s="773" t="str">
        <f t="shared" si="563"/>
        <v>A</v>
      </c>
      <c r="Q417" s="773" t="str">
        <f t="shared" si="563"/>
        <v>A</v>
      </c>
      <c r="R417" s="773" t="str">
        <f t="shared" si="564"/>
        <v>A</v>
      </c>
      <c r="S417" s="773" t="str">
        <f t="shared" si="565"/>
        <v>A</v>
      </c>
      <c r="T417" s="773" t="str">
        <f t="shared" si="566"/>
        <v>A</v>
      </c>
      <c r="U417" s="773" t="str">
        <f t="shared" si="567"/>
        <v>A</v>
      </c>
      <c r="V417" s="773" t="str">
        <f t="shared" si="568"/>
        <v>A</v>
      </c>
      <c r="W417" s="773" t="str">
        <f t="shared" si="569"/>
        <v>A</v>
      </c>
      <c r="X417" s="773" t="str">
        <f t="shared" si="570"/>
        <v>A</v>
      </c>
      <c r="Y417" s="773" t="str">
        <f t="shared" si="571"/>
        <v>A</v>
      </c>
      <c r="Z417" s="773" t="str">
        <f t="shared" si="572"/>
        <v>A</v>
      </c>
      <c r="AA417" s="773" t="str">
        <f t="shared" si="573"/>
        <v>A</v>
      </c>
      <c r="AB417" s="773" t="str">
        <f t="shared" si="574"/>
        <v>A</v>
      </c>
      <c r="AC417" s="773" t="str">
        <f t="shared" si="574"/>
        <v>A</v>
      </c>
      <c r="AD417" s="876"/>
      <c r="AE417" s="863"/>
      <c r="AF417" s="870"/>
      <c r="AG417" s="1019"/>
      <c r="AH417" s="802"/>
      <c r="AI417" s="803"/>
    </row>
    <row r="418" spans="1:51" hidden="1" outlineLevel="1" x14ac:dyDescent="0.3">
      <c r="A418" s="159"/>
      <c r="B418" s="1191"/>
      <c r="C418" s="740" t="str">
        <f>'Optimalizačné opatrenia'!$B$13</f>
        <v>Proaktivita</v>
      </c>
      <c r="D418" s="788" t="s">
        <v>542</v>
      </c>
      <c r="E418" s="773" t="str">
        <f t="shared" si="560"/>
        <v>N</v>
      </c>
      <c r="F418" s="773" t="str">
        <f t="shared" si="560"/>
        <v>A</v>
      </c>
      <c r="G418" s="773" t="str">
        <f t="shared" si="561"/>
        <v>N</v>
      </c>
      <c r="H418" s="773"/>
      <c r="I418" s="773"/>
      <c r="J418" s="773"/>
      <c r="K418" s="773"/>
      <c r="L418" s="773" t="str">
        <f t="shared" si="562"/>
        <v>A</v>
      </c>
      <c r="M418" s="773" t="str">
        <f t="shared" si="562"/>
        <v>N</v>
      </c>
      <c r="N418" s="773" t="str">
        <f t="shared" si="562"/>
        <v>N</v>
      </c>
      <c r="O418" s="773"/>
      <c r="P418" s="773" t="str">
        <f t="shared" si="563"/>
        <v>N</v>
      </c>
      <c r="Q418" s="773" t="str">
        <f t="shared" si="563"/>
        <v>N</v>
      </c>
      <c r="R418" s="773" t="str">
        <f t="shared" si="564"/>
        <v>A</v>
      </c>
      <c r="S418" s="773" t="str">
        <f t="shared" si="565"/>
        <v>A</v>
      </c>
      <c r="T418" s="773" t="str">
        <f t="shared" si="566"/>
        <v>A</v>
      </c>
      <c r="U418" s="773" t="str">
        <f t="shared" si="567"/>
        <v>N</v>
      </c>
      <c r="V418" s="773" t="str">
        <f t="shared" si="568"/>
        <v>A</v>
      </c>
      <c r="W418" s="773" t="str">
        <f t="shared" si="569"/>
        <v>N</v>
      </c>
      <c r="X418" s="773" t="str">
        <f t="shared" si="570"/>
        <v>N</v>
      </c>
      <c r="Y418" s="773" t="str">
        <f t="shared" si="571"/>
        <v>A</v>
      </c>
      <c r="Z418" s="773" t="str">
        <f t="shared" si="572"/>
        <v>A</v>
      </c>
      <c r="AA418" s="773" t="str">
        <f t="shared" si="573"/>
        <v>A</v>
      </c>
      <c r="AB418" s="773" t="str">
        <f t="shared" si="574"/>
        <v>A</v>
      </c>
      <c r="AC418" s="773" t="str">
        <f t="shared" si="574"/>
        <v>A</v>
      </c>
      <c r="AD418" s="876"/>
      <c r="AE418" s="863"/>
      <c r="AF418" s="870"/>
      <c r="AG418" s="1019"/>
      <c r="AH418" s="802"/>
      <c r="AI418" s="803"/>
    </row>
    <row r="419" spans="1:51" hidden="1" outlineLevel="1" x14ac:dyDescent="0.3">
      <c r="A419" s="159"/>
      <c r="B419" s="790"/>
      <c r="C419" s="792" t="s">
        <v>550</v>
      </c>
      <c r="D419" s="793">
        <v>0</v>
      </c>
      <c r="E419" s="791">
        <f t="shared" si="560"/>
        <v>0.2</v>
      </c>
      <c r="F419" s="794">
        <f t="shared" si="560"/>
        <v>0.4</v>
      </c>
      <c r="G419" s="794">
        <f t="shared" si="561"/>
        <v>0.3</v>
      </c>
      <c r="H419" s="794"/>
      <c r="I419" s="794"/>
      <c r="J419" s="794"/>
      <c r="K419" s="794"/>
      <c r="L419" s="794">
        <f t="shared" si="562"/>
        <v>0.4</v>
      </c>
      <c r="M419" s="794">
        <f t="shared" si="562"/>
        <v>0</v>
      </c>
      <c r="N419" s="794">
        <f t="shared" si="562"/>
        <v>0</v>
      </c>
      <c r="O419" s="794"/>
      <c r="P419" s="794">
        <f t="shared" si="563"/>
        <v>0.45</v>
      </c>
      <c r="Q419" s="794">
        <f t="shared" si="563"/>
        <v>0.3</v>
      </c>
      <c r="R419" s="794">
        <f t="shared" si="564"/>
        <v>0.4</v>
      </c>
      <c r="S419" s="794">
        <f t="shared" si="565"/>
        <v>0.4</v>
      </c>
      <c r="T419" s="794">
        <f t="shared" si="566"/>
        <v>0.4</v>
      </c>
      <c r="U419" s="794">
        <f t="shared" si="567"/>
        <v>0.3</v>
      </c>
      <c r="V419" s="794">
        <f t="shared" si="568"/>
        <v>0.5</v>
      </c>
      <c r="W419" s="794">
        <f t="shared" si="569"/>
        <v>0.3</v>
      </c>
      <c r="X419" s="794">
        <f t="shared" si="570"/>
        <v>0.3</v>
      </c>
      <c r="Y419" s="794">
        <f t="shared" si="571"/>
        <v>0.4</v>
      </c>
      <c r="Z419" s="794">
        <f t="shared" si="572"/>
        <v>0.4</v>
      </c>
      <c r="AA419" s="794">
        <f t="shared" si="573"/>
        <v>0.5</v>
      </c>
      <c r="AB419" s="794">
        <f t="shared" si="574"/>
        <v>0.4</v>
      </c>
      <c r="AC419" s="794">
        <f t="shared" si="574"/>
        <v>0.4</v>
      </c>
      <c r="AD419" s="877"/>
      <c r="AE419" s="864"/>
      <c r="AF419" s="871"/>
      <c r="AG419" s="1020"/>
      <c r="AH419" s="805"/>
      <c r="AI419" s="806"/>
    </row>
    <row r="420" spans="1:51" ht="15" collapsed="1" thickBot="1" x14ac:dyDescent="0.35">
      <c r="A420" s="159"/>
      <c r="B420" s="811"/>
      <c r="C420" s="812" t="s">
        <v>601</v>
      </c>
      <c r="D420" s="813"/>
      <c r="E420" s="813"/>
      <c r="F420" s="813"/>
      <c r="G420" s="814"/>
      <c r="H420" s="814"/>
      <c r="I420" s="814"/>
      <c r="J420" s="814"/>
      <c r="K420" s="814"/>
      <c r="L420" s="814"/>
      <c r="M420" s="814"/>
      <c r="N420" s="814"/>
      <c r="O420" s="814"/>
      <c r="P420" s="814"/>
      <c r="Q420" s="814"/>
      <c r="R420" s="814"/>
      <c r="S420" s="814"/>
      <c r="T420" s="814"/>
      <c r="U420" s="814"/>
      <c r="V420" s="814"/>
      <c r="W420" s="814"/>
      <c r="X420" s="814"/>
      <c r="Y420" s="814"/>
      <c r="Z420" s="814"/>
      <c r="AA420" s="814"/>
      <c r="AB420" s="814"/>
      <c r="AC420" s="814"/>
      <c r="AD420" s="821"/>
      <c r="AE420" s="865"/>
      <c r="AF420" s="872">
        <f>'Procesy - AS IS'!AG101/(1+$AE349)-'Procesy - AS IS'!AG101</f>
        <v>2.1548255051535392</v>
      </c>
      <c r="AG420" s="1021">
        <f>'Procesy - AS IS'!AH101/(1+$AE349)-'Procesy - AS IS'!AH101</f>
        <v>0</v>
      </c>
      <c r="AH420" s="816">
        <f>'Procesy - AS IS'!AI101/(1+$AE349)-'Procesy - AS IS'!AI101</f>
        <v>0</v>
      </c>
      <c r="AI420" s="817">
        <f>'Procesy - AS IS'!AJ101/(1+$AE349)-'Procesy - AS IS'!AJ101</f>
        <v>0</v>
      </c>
    </row>
    <row r="421" spans="1:51" x14ac:dyDescent="0.3">
      <c r="A421" s="159"/>
      <c r="B421" s="725" t="str">
        <f>'Procesy - AS IS'!B102</f>
        <v>Zdroj 6</v>
      </c>
      <c r="C421" s="726" t="str">
        <f>'Procesy - AS IS'!C102</f>
        <v>Integrované povoľovanie a kontrola</v>
      </c>
      <c r="D421" s="796">
        <f>D422*$AF422/($AF421-$AF436)</f>
        <v>0</v>
      </c>
      <c r="E421" s="719">
        <f>E422*$AF422/($AF421-$AF436)</f>
        <v>0</v>
      </c>
      <c r="F421" s="719">
        <f>F422*$AF422/($AF421-$AF436)</f>
        <v>0</v>
      </c>
      <c r="G421" s="729">
        <f>G422*$AF422/($AF421-$AF436)</f>
        <v>-8.4</v>
      </c>
      <c r="H421" s="722"/>
      <c r="I421" s="722"/>
      <c r="J421" s="722"/>
      <c r="K421" s="722"/>
      <c r="L421" s="722"/>
      <c r="M421" s="729">
        <f>M422*$AF422/($AF421-$AF436)</f>
        <v>0</v>
      </c>
      <c r="N421" s="719"/>
      <c r="O421" s="719"/>
      <c r="P421" s="719">
        <f t="shared" ref="P421:AC421" si="575">P422*$AF422/($AF421-$AF436)</f>
        <v>-1.35</v>
      </c>
      <c r="Q421" s="719">
        <f t="shared" si="575"/>
        <v>0</v>
      </c>
      <c r="R421" s="719">
        <f t="shared" si="575"/>
        <v>0</v>
      </c>
      <c r="S421" s="719">
        <f t="shared" si="575"/>
        <v>0</v>
      </c>
      <c r="T421" s="719">
        <f t="shared" si="575"/>
        <v>-0.71223021582733803</v>
      </c>
      <c r="U421" s="719">
        <f t="shared" si="575"/>
        <v>0</v>
      </c>
      <c r="V421" s="719">
        <f t="shared" si="575"/>
        <v>-0.25</v>
      </c>
      <c r="W421" s="719">
        <f t="shared" si="575"/>
        <v>-0.2503597122302158</v>
      </c>
      <c r="X421" s="719">
        <f t="shared" si="575"/>
        <v>0</v>
      </c>
      <c r="Y421" s="719">
        <f t="shared" si="575"/>
        <v>-1.2517985611510791</v>
      </c>
      <c r="Z421" s="719">
        <f t="shared" si="575"/>
        <v>-1.1241007194244604E-2</v>
      </c>
      <c r="AA421" s="719">
        <f t="shared" si="575"/>
        <v>-8.9928057553956831E-2</v>
      </c>
      <c r="AB421" s="719">
        <f t="shared" si="575"/>
        <v>0</v>
      </c>
      <c r="AC421" s="720">
        <f t="shared" si="575"/>
        <v>-15.107913669064747</v>
      </c>
      <c r="AD421" s="822">
        <f>SUM(AD422:AD435)</f>
        <v>-27.423471223021579</v>
      </c>
      <c r="AE421" s="862">
        <f>-SUM(AF422:AF435)/('Procesy - AS IS'!AG102+SUM(AF422:AF435))</f>
        <v>-0.27193112304043088</v>
      </c>
      <c r="AF421" s="873">
        <f>SUM(AF422:AF435)</f>
        <v>103.83200628068846</v>
      </c>
      <c r="AG421" s="1022">
        <f>SUM(AG422:AG435)</f>
        <v>36.976146121540125</v>
      </c>
      <c r="AH421" s="800">
        <f>SUM(AH422:AH435)</f>
        <v>21.662792677265941</v>
      </c>
      <c r="AI421" s="808">
        <f>SUM(AI422:AI435)</f>
        <v>9.3374106367525584</v>
      </c>
      <c r="AK421" s="232"/>
      <c r="AL421"/>
      <c r="AY421" s="227"/>
    </row>
    <row r="422" spans="1:51" ht="43.2" x14ac:dyDescent="0.3">
      <c r="A422" s="159">
        <f ca="1">OFFSET(A422,-16,0)+1</f>
        <v>30</v>
      </c>
      <c r="B422" s="736" t="str">
        <f ca="1">'Procesy - AS IS'!B103</f>
        <v>Meranie č. 30</v>
      </c>
      <c r="C422" s="739" t="str">
        <f>'Procesy - AS IS'!C103</f>
        <v>Slovnaft, LDPE4 - Nová výrobnňa polyetylénu, 2370-13658/37/2013/Tot,Heg/370190306</v>
      </c>
      <c r="D422" s="796">
        <f>-'Procesy - AS IS'!D105*D435</f>
        <v>0</v>
      </c>
      <c r="E422" s="721">
        <f>-'Procesy - AS IS'!E105*E435</f>
        <v>0</v>
      </c>
      <c r="F422" s="721">
        <f>-'Procesy - AS IS'!F105*F435</f>
        <v>0</v>
      </c>
      <c r="G422" s="721">
        <f>-'Procesy - AS IS'!G105*G435</f>
        <v>-8.4</v>
      </c>
      <c r="H422" s="721" t="s">
        <v>568</v>
      </c>
      <c r="I422" s="721" t="s">
        <v>568</v>
      </c>
      <c r="J422" s="721" t="s">
        <v>568</v>
      </c>
      <c r="K422" s="721" t="s">
        <v>568</v>
      </c>
      <c r="L422" s="721" t="s">
        <v>568</v>
      </c>
      <c r="M422" s="721">
        <f>-'Procesy - AS IS'!M105*M435</f>
        <v>0</v>
      </c>
      <c r="N422" s="721" t="s">
        <v>568</v>
      </c>
      <c r="O422" s="721" t="s">
        <v>572</v>
      </c>
      <c r="P422" s="721">
        <f>-'Procesy - AS IS'!P105*P435</f>
        <v>-1.35</v>
      </c>
      <c r="Q422" s="721">
        <f>-'Procesy - AS IS'!Q105*Q435</f>
        <v>0</v>
      </c>
      <c r="R422" s="721">
        <f>-'Procesy - AS IS'!R105*R435</f>
        <v>0</v>
      </c>
      <c r="S422" s="721">
        <f>-'Procesy - AS IS'!S105*S435</f>
        <v>0</v>
      </c>
      <c r="T422" s="721">
        <f>-'Procesy - AS IS'!T105*T435</f>
        <v>-0.71223021582733814</v>
      </c>
      <c r="U422" s="721">
        <f>-'Procesy - AS IS'!U105*U435</f>
        <v>0</v>
      </c>
      <c r="V422" s="721">
        <f>-'Procesy - AS IS'!V105*V435</f>
        <v>-0.25</v>
      </c>
      <c r="W422" s="721">
        <f>-'Procesy - AS IS'!W105*W435</f>
        <v>-0.2503597122302158</v>
      </c>
      <c r="X422" s="721">
        <f>-'Procesy - AS IS'!X105*X435</f>
        <v>0</v>
      </c>
      <c r="Y422" s="721">
        <f>-'Procesy - AS IS'!Y105*Y435</f>
        <v>-1.2517985611510791</v>
      </c>
      <c r="Z422" s="721">
        <f>-'Procesy - AS IS'!Z105*Z435</f>
        <v>-1.1241007194244604E-2</v>
      </c>
      <c r="AA422" s="721">
        <f>-'Procesy - AS IS'!AA105*AA435</f>
        <v>-8.9928057553956831E-2</v>
      </c>
      <c r="AB422" s="721">
        <f>-'Procesy - AS IS'!AB105*AB435</f>
        <v>0</v>
      </c>
      <c r="AC422" s="721">
        <f>-'Procesy - AS IS'!AC105*AC435</f>
        <v>-15.107913669064747</v>
      </c>
      <c r="AD422" s="824">
        <f>SUM(D422:AC422)</f>
        <v>-27.423471223021579</v>
      </c>
      <c r="AE422" s="798">
        <f>AD422/'Procesy - AS IS'!AD105</f>
        <v>-0.27193112304043088</v>
      </c>
      <c r="AF422" s="869">
        <f>'Procesy - AS IS'!AG105/(1+$AE422)-'Procesy - AS IS'!AG105</f>
        <v>103.83200628068846</v>
      </c>
      <c r="AG422" s="1018">
        <f>'Procesy - AS IS'!AH105/(1+$AE422)-'Procesy - AS IS'!AH105</f>
        <v>36.976146121540125</v>
      </c>
      <c r="AH422" s="800">
        <f>'Procesy - AS IS'!AI105/(1+$AE422)-'Procesy - AS IS'!AI105</f>
        <v>21.662792677265941</v>
      </c>
      <c r="AI422" s="801">
        <f>'Procesy - AS IS'!AJ105/(1+$AE422)-'Procesy - AS IS'!AJ105</f>
        <v>9.3374106367525584</v>
      </c>
      <c r="AK422" s="232"/>
      <c r="AY422" s="227"/>
    </row>
    <row r="423" spans="1:51" hidden="1" outlineLevel="1" x14ac:dyDescent="0.3">
      <c r="A423" s="159"/>
      <c r="B423" s="1190" t="s">
        <v>540</v>
      </c>
      <c r="C423" s="735" t="str">
        <f>'Optimalizačné opatrenia'!$B$2</f>
        <v>Modernizácia</v>
      </c>
      <c r="D423" s="741" t="s">
        <v>542</v>
      </c>
      <c r="E423" s="843" t="s">
        <v>542</v>
      </c>
      <c r="F423" s="773" t="str">
        <f t="shared" ref="F423:F435" si="576">F121</f>
        <v>N</v>
      </c>
      <c r="G423" s="773" t="str">
        <f t="shared" ref="G423:G435" si="577">G77</f>
        <v>A</v>
      </c>
      <c r="H423" s="773"/>
      <c r="I423" s="773"/>
      <c r="J423" s="773"/>
      <c r="K423" s="773"/>
      <c r="L423" s="773"/>
      <c r="M423" s="773" t="s">
        <v>542</v>
      </c>
      <c r="N423" s="773"/>
      <c r="O423" s="773"/>
      <c r="P423" s="773" t="str">
        <f t="shared" ref="P423:P435" si="578">P277</f>
        <v>A</v>
      </c>
      <c r="Q423" s="773" t="str">
        <f t="shared" ref="Q423:Q435" si="579">G423</f>
        <v>A</v>
      </c>
      <c r="R423" s="773" t="str">
        <f t="shared" ref="R423:R435" si="580">R35</f>
        <v>A</v>
      </c>
      <c r="S423" s="773" t="str">
        <f t="shared" ref="S423:S435" si="581">R423</f>
        <v>A</v>
      </c>
      <c r="T423" s="773" t="str">
        <f t="shared" ref="T423:T435" si="582">R423</f>
        <v>A</v>
      </c>
      <c r="U423" s="773" t="str">
        <f t="shared" ref="U423:U435" si="583">G423</f>
        <v>A</v>
      </c>
      <c r="V423" s="773" t="str">
        <f t="shared" ref="V423:W435" si="584">V7</f>
        <v>A</v>
      </c>
      <c r="W423" s="773" t="str">
        <f t="shared" si="584"/>
        <v>A</v>
      </c>
      <c r="X423" s="773" t="str">
        <f t="shared" ref="X423:X435" si="585">G423</f>
        <v>A</v>
      </c>
      <c r="Y423" s="773" t="str">
        <f t="shared" ref="Y423:Y435" si="586">R423</f>
        <v>A</v>
      </c>
      <c r="Z423" s="773" t="str">
        <f t="shared" ref="Z423:Z435" si="587">R423</f>
        <v>A</v>
      </c>
      <c r="AA423" s="773" t="str">
        <f t="shared" ref="AA423:AA435" si="588">$V423</f>
        <v>A</v>
      </c>
      <c r="AB423" s="773" t="str">
        <f t="shared" ref="AB423:AB435" si="589">G423</f>
        <v>A</v>
      </c>
      <c r="AC423" s="773" t="str">
        <f t="shared" ref="AC423:AC435" si="590">R423</f>
        <v>A</v>
      </c>
      <c r="AD423" s="876"/>
      <c r="AE423" s="863"/>
      <c r="AF423" s="870"/>
      <c r="AG423" s="1019"/>
      <c r="AH423" s="802"/>
      <c r="AI423" s="803"/>
    </row>
    <row r="424" spans="1:51" hidden="1" outlineLevel="1" x14ac:dyDescent="0.3">
      <c r="A424" s="159"/>
      <c r="B424" s="1191"/>
      <c r="C424" s="735" t="str">
        <f>'Optimalizačné opatrenia'!$B$3</f>
        <v>Sfunkčnenie</v>
      </c>
      <c r="D424" s="788" t="s">
        <v>542</v>
      </c>
      <c r="E424" s="843" t="s">
        <v>542</v>
      </c>
      <c r="F424" s="773" t="str">
        <f t="shared" si="576"/>
        <v>N</v>
      </c>
      <c r="G424" s="773" t="str">
        <f t="shared" si="577"/>
        <v>N</v>
      </c>
      <c r="H424" s="773"/>
      <c r="I424" s="773"/>
      <c r="J424" s="773"/>
      <c r="K424" s="773"/>
      <c r="L424" s="773"/>
      <c r="M424" s="773" t="s">
        <v>542</v>
      </c>
      <c r="N424" s="773"/>
      <c r="O424" s="773"/>
      <c r="P424" s="773" t="str">
        <f t="shared" si="578"/>
        <v>N</v>
      </c>
      <c r="Q424" s="773" t="str">
        <f t="shared" si="579"/>
        <v>N</v>
      </c>
      <c r="R424" s="773" t="str">
        <f t="shared" si="580"/>
        <v>N</v>
      </c>
      <c r="S424" s="773" t="str">
        <f t="shared" si="581"/>
        <v>N</v>
      </c>
      <c r="T424" s="773" t="str">
        <f t="shared" si="582"/>
        <v>N</v>
      </c>
      <c r="U424" s="773" t="str">
        <f t="shared" si="583"/>
        <v>N</v>
      </c>
      <c r="V424" s="773" t="str">
        <f t="shared" si="584"/>
        <v>N</v>
      </c>
      <c r="W424" s="773" t="str">
        <f t="shared" si="584"/>
        <v>N</v>
      </c>
      <c r="X424" s="773" t="str">
        <f t="shared" si="585"/>
        <v>N</v>
      </c>
      <c r="Y424" s="773" t="str">
        <f t="shared" si="586"/>
        <v>N</v>
      </c>
      <c r="Z424" s="773" t="str">
        <f t="shared" si="587"/>
        <v>N</v>
      </c>
      <c r="AA424" s="773" t="str">
        <f t="shared" si="588"/>
        <v>N</v>
      </c>
      <c r="AB424" s="773" t="str">
        <f t="shared" si="589"/>
        <v>N</v>
      </c>
      <c r="AC424" s="773" t="str">
        <f t="shared" si="590"/>
        <v>N</v>
      </c>
      <c r="AD424" s="876"/>
      <c r="AE424" s="863"/>
      <c r="AF424" s="870"/>
      <c r="AG424" s="1019"/>
      <c r="AH424" s="802"/>
      <c r="AI424" s="803"/>
    </row>
    <row r="425" spans="1:51" hidden="1" outlineLevel="1" x14ac:dyDescent="0.3">
      <c r="A425" s="159"/>
      <c r="B425" s="1191"/>
      <c r="C425" s="735" t="str">
        <f>'Optimalizačné opatrenia'!$B$4</f>
        <v>Zjednotenie</v>
      </c>
      <c r="D425" s="788" t="s">
        <v>542</v>
      </c>
      <c r="E425" s="843" t="s">
        <v>542</v>
      </c>
      <c r="F425" s="773" t="str">
        <f t="shared" si="576"/>
        <v>N</v>
      </c>
      <c r="G425" s="773" t="str">
        <f t="shared" si="577"/>
        <v>A</v>
      </c>
      <c r="H425" s="773"/>
      <c r="I425" s="773"/>
      <c r="J425" s="773"/>
      <c r="K425" s="773"/>
      <c r="L425" s="773"/>
      <c r="M425" s="773" t="s">
        <v>542</v>
      </c>
      <c r="N425" s="773"/>
      <c r="O425" s="773"/>
      <c r="P425" s="773" t="str">
        <f t="shared" si="578"/>
        <v>A</v>
      </c>
      <c r="Q425" s="773" t="str">
        <f t="shared" si="579"/>
        <v>A</v>
      </c>
      <c r="R425" s="773" t="str">
        <f t="shared" si="580"/>
        <v>A</v>
      </c>
      <c r="S425" s="773" t="str">
        <f t="shared" si="581"/>
        <v>A</v>
      </c>
      <c r="T425" s="773" t="str">
        <f t="shared" si="582"/>
        <v>A</v>
      </c>
      <c r="U425" s="773" t="str">
        <f t="shared" si="583"/>
        <v>A</v>
      </c>
      <c r="V425" s="773" t="str">
        <f t="shared" si="584"/>
        <v>A</v>
      </c>
      <c r="W425" s="773" t="str">
        <f t="shared" si="584"/>
        <v>A</v>
      </c>
      <c r="X425" s="773" t="str">
        <f t="shared" si="585"/>
        <v>A</v>
      </c>
      <c r="Y425" s="773" t="str">
        <f t="shared" si="586"/>
        <v>A</v>
      </c>
      <c r="Z425" s="773" t="str">
        <f t="shared" si="587"/>
        <v>A</v>
      </c>
      <c r="AA425" s="773" t="str">
        <f t="shared" si="588"/>
        <v>A</v>
      </c>
      <c r="AB425" s="773" t="str">
        <f t="shared" si="589"/>
        <v>A</v>
      </c>
      <c r="AC425" s="773" t="str">
        <f t="shared" si="590"/>
        <v>A</v>
      </c>
      <c r="AD425" s="876"/>
      <c r="AE425" s="863"/>
      <c r="AF425" s="870"/>
      <c r="AG425" s="1019"/>
      <c r="AH425" s="802"/>
      <c r="AI425" s="803"/>
    </row>
    <row r="426" spans="1:51" hidden="1" outlineLevel="1" x14ac:dyDescent="0.3">
      <c r="A426" s="159"/>
      <c r="B426" s="1191"/>
      <c r="C426" s="735" t="str">
        <f>'Optimalizačné opatrenia'!$B$5</f>
        <v>Centralizácia</v>
      </c>
      <c r="D426" s="788" t="s">
        <v>542</v>
      </c>
      <c r="E426" s="843" t="s">
        <v>542</v>
      </c>
      <c r="F426" s="773" t="str">
        <f t="shared" si="576"/>
        <v>N</v>
      </c>
      <c r="G426" s="773" t="str">
        <f t="shared" si="577"/>
        <v>A</v>
      </c>
      <c r="H426" s="773"/>
      <c r="I426" s="773"/>
      <c r="J426" s="773"/>
      <c r="K426" s="773"/>
      <c r="L426" s="773"/>
      <c r="M426" s="773" t="s">
        <v>542</v>
      </c>
      <c r="N426" s="773"/>
      <c r="O426" s="773"/>
      <c r="P426" s="773" t="str">
        <f t="shared" si="578"/>
        <v>A</v>
      </c>
      <c r="Q426" s="773" t="str">
        <f t="shared" si="579"/>
        <v>A</v>
      </c>
      <c r="R426" s="773" t="str">
        <f t="shared" si="580"/>
        <v>A</v>
      </c>
      <c r="S426" s="773" t="str">
        <f t="shared" si="581"/>
        <v>A</v>
      </c>
      <c r="T426" s="773" t="str">
        <f t="shared" si="582"/>
        <v>A</v>
      </c>
      <c r="U426" s="773" t="str">
        <f t="shared" si="583"/>
        <v>A</v>
      </c>
      <c r="V426" s="773" t="str">
        <f t="shared" si="584"/>
        <v>A</v>
      </c>
      <c r="W426" s="773" t="str">
        <f t="shared" si="584"/>
        <v>A</v>
      </c>
      <c r="X426" s="773" t="str">
        <f t="shared" si="585"/>
        <v>A</v>
      </c>
      <c r="Y426" s="773" t="str">
        <f t="shared" si="586"/>
        <v>A</v>
      </c>
      <c r="Z426" s="773" t="str">
        <f t="shared" si="587"/>
        <v>A</v>
      </c>
      <c r="AA426" s="773" t="str">
        <f t="shared" si="588"/>
        <v>A</v>
      </c>
      <c r="AB426" s="773" t="str">
        <f t="shared" si="589"/>
        <v>A</v>
      </c>
      <c r="AC426" s="773" t="str">
        <f t="shared" si="590"/>
        <v>A</v>
      </c>
      <c r="AD426" s="876"/>
      <c r="AE426" s="863"/>
      <c r="AF426" s="870"/>
      <c r="AG426" s="1019"/>
      <c r="AH426" s="802"/>
      <c r="AI426" s="803"/>
    </row>
    <row r="427" spans="1:51" hidden="1" outlineLevel="1" x14ac:dyDescent="0.3">
      <c r="A427" s="159"/>
      <c r="B427" s="1191"/>
      <c r="C427" s="735" t="str">
        <f>'Optimalizačné opatrenia'!$B$6</f>
        <v>Elektronizácia</v>
      </c>
      <c r="D427" s="788" t="s">
        <v>542</v>
      </c>
      <c r="E427" s="843" t="s">
        <v>542</v>
      </c>
      <c r="F427" s="773" t="str">
        <f t="shared" si="576"/>
        <v>N</v>
      </c>
      <c r="G427" s="773" t="str">
        <f t="shared" si="577"/>
        <v>A</v>
      </c>
      <c r="H427" s="773"/>
      <c r="I427" s="773"/>
      <c r="J427" s="773"/>
      <c r="K427" s="773"/>
      <c r="L427" s="773"/>
      <c r="M427" s="773" t="s">
        <v>542</v>
      </c>
      <c r="N427" s="773"/>
      <c r="O427" s="773"/>
      <c r="P427" s="773" t="str">
        <f t="shared" si="578"/>
        <v>A</v>
      </c>
      <c r="Q427" s="773" t="str">
        <f t="shared" si="579"/>
        <v>A</v>
      </c>
      <c r="R427" s="773" t="str">
        <f t="shared" si="580"/>
        <v>A</v>
      </c>
      <c r="S427" s="773" t="str">
        <f t="shared" si="581"/>
        <v>A</v>
      </c>
      <c r="T427" s="773" t="str">
        <f t="shared" si="582"/>
        <v>A</v>
      </c>
      <c r="U427" s="773" t="str">
        <f t="shared" si="583"/>
        <v>A</v>
      </c>
      <c r="V427" s="773" t="str">
        <f t="shared" si="584"/>
        <v>A</v>
      </c>
      <c r="W427" s="773" t="str">
        <f t="shared" si="584"/>
        <v>A</v>
      </c>
      <c r="X427" s="773" t="str">
        <f t="shared" si="585"/>
        <v>A</v>
      </c>
      <c r="Y427" s="773" t="str">
        <f t="shared" si="586"/>
        <v>A</v>
      </c>
      <c r="Z427" s="773" t="str">
        <f t="shared" si="587"/>
        <v>A</v>
      </c>
      <c r="AA427" s="773" t="str">
        <f t="shared" si="588"/>
        <v>A</v>
      </c>
      <c r="AB427" s="773" t="str">
        <f t="shared" si="589"/>
        <v>A</v>
      </c>
      <c r="AC427" s="773" t="str">
        <f t="shared" si="590"/>
        <v>A</v>
      </c>
      <c r="AD427" s="876"/>
      <c r="AE427" s="863"/>
      <c r="AF427" s="870"/>
      <c r="AG427" s="1019"/>
      <c r="AH427" s="802"/>
      <c r="AI427" s="803"/>
    </row>
    <row r="428" spans="1:51" hidden="1" outlineLevel="1" x14ac:dyDescent="0.3">
      <c r="A428" s="159"/>
      <c r="B428" s="1191"/>
      <c r="C428" s="735" t="str">
        <f>'Optimalizačné opatrenia'!$B$7</f>
        <v>Automatizácia</v>
      </c>
      <c r="D428" s="788" t="s">
        <v>542</v>
      </c>
      <c r="E428" s="843" t="s">
        <v>542</v>
      </c>
      <c r="F428" s="773" t="str">
        <f t="shared" si="576"/>
        <v>N</v>
      </c>
      <c r="G428" s="773" t="str">
        <f t="shared" si="577"/>
        <v>A</v>
      </c>
      <c r="H428" s="773"/>
      <c r="I428" s="773"/>
      <c r="J428" s="773"/>
      <c r="K428" s="773"/>
      <c r="L428" s="773"/>
      <c r="M428" s="773" t="s">
        <v>542</v>
      </c>
      <c r="N428" s="773"/>
      <c r="O428" s="773"/>
      <c r="P428" s="773" t="str">
        <f t="shared" si="578"/>
        <v>A</v>
      </c>
      <c r="Q428" s="773" t="str">
        <f t="shared" si="579"/>
        <v>A</v>
      </c>
      <c r="R428" s="773" t="str">
        <f t="shared" si="580"/>
        <v>A</v>
      </c>
      <c r="S428" s="773" t="str">
        <f t="shared" si="581"/>
        <v>A</v>
      </c>
      <c r="T428" s="773" t="str">
        <f t="shared" si="582"/>
        <v>A</v>
      </c>
      <c r="U428" s="773" t="str">
        <f t="shared" si="583"/>
        <v>A</v>
      </c>
      <c r="V428" s="773" t="str">
        <f t="shared" si="584"/>
        <v>A</v>
      </c>
      <c r="W428" s="773" t="str">
        <f t="shared" si="584"/>
        <v>A</v>
      </c>
      <c r="X428" s="773" t="str">
        <f t="shared" si="585"/>
        <v>A</v>
      </c>
      <c r="Y428" s="773" t="str">
        <f t="shared" si="586"/>
        <v>A</v>
      </c>
      <c r="Z428" s="773" t="str">
        <f t="shared" si="587"/>
        <v>A</v>
      </c>
      <c r="AA428" s="773" t="str">
        <f t="shared" si="588"/>
        <v>A</v>
      </c>
      <c r="AB428" s="773" t="str">
        <f t="shared" si="589"/>
        <v>A</v>
      </c>
      <c r="AC428" s="773" t="str">
        <f t="shared" si="590"/>
        <v>A</v>
      </c>
      <c r="AD428" s="876"/>
      <c r="AE428" s="863"/>
      <c r="AF428" s="870"/>
      <c r="AG428" s="1019"/>
      <c r="AH428" s="802"/>
      <c r="AI428" s="803"/>
    </row>
    <row r="429" spans="1:51" hidden="1" outlineLevel="1" x14ac:dyDescent="0.3">
      <c r="A429" s="159"/>
      <c r="B429" s="1191"/>
      <c r="C429" s="735" t="str">
        <f>'Optimalizačné opatrenia'!$B$8</f>
        <v>Bezpečnosť</v>
      </c>
      <c r="D429" s="788" t="s">
        <v>542</v>
      </c>
      <c r="E429" s="843" t="s">
        <v>542</v>
      </c>
      <c r="F429" s="773" t="str">
        <f t="shared" si="576"/>
        <v>N</v>
      </c>
      <c r="G429" s="773" t="str">
        <f t="shared" si="577"/>
        <v>A</v>
      </c>
      <c r="H429" s="773"/>
      <c r="I429" s="773"/>
      <c r="J429" s="773"/>
      <c r="K429" s="773"/>
      <c r="L429" s="773"/>
      <c r="M429" s="773" t="s">
        <v>542</v>
      </c>
      <c r="N429" s="773"/>
      <c r="O429" s="773"/>
      <c r="P429" s="773" t="str">
        <f t="shared" si="578"/>
        <v>A</v>
      </c>
      <c r="Q429" s="773" t="str">
        <f t="shared" si="579"/>
        <v>A</v>
      </c>
      <c r="R429" s="773" t="str">
        <f t="shared" si="580"/>
        <v>A</v>
      </c>
      <c r="S429" s="773" t="str">
        <f t="shared" si="581"/>
        <v>A</v>
      </c>
      <c r="T429" s="773" t="str">
        <f t="shared" si="582"/>
        <v>A</v>
      </c>
      <c r="U429" s="773" t="str">
        <f t="shared" si="583"/>
        <v>A</v>
      </c>
      <c r="V429" s="773" t="str">
        <f t="shared" si="584"/>
        <v>A</v>
      </c>
      <c r="W429" s="773" t="str">
        <f t="shared" si="584"/>
        <v>A</v>
      </c>
      <c r="X429" s="773" t="str">
        <f t="shared" si="585"/>
        <v>A</v>
      </c>
      <c r="Y429" s="773" t="str">
        <f t="shared" si="586"/>
        <v>A</v>
      </c>
      <c r="Z429" s="773" t="str">
        <f t="shared" si="587"/>
        <v>A</v>
      </c>
      <c r="AA429" s="773" t="str">
        <f t="shared" si="588"/>
        <v>A</v>
      </c>
      <c r="AB429" s="773" t="str">
        <f t="shared" si="589"/>
        <v>A</v>
      </c>
      <c r="AC429" s="773" t="str">
        <f t="shared" si="590"/>
        <v>A</v>
      </c>
      <c r="AD429" s="876"/>
      <c r="AE429" s="863"/>
      <c r="AF429" s="870"/>
      <c r="AG429" s="1019"/>
      <c r="AH429" s="802"/>
      <c r="AI429" s="803"/>
    </row>
    <row r="430" spans="1:51" hidden="1" outlineLevel="1" x14ac:dyDescent="0.3">
      <c r="A430" s="159"/>
      <c r="B430" s="1191"/>
      <c r="C430" s="735" t="str">
        <f>'Optimalizačné opatrenia'!$B$9</f>
        <v>Auditovateľnosť</v>
      </c>
      <c r="D430" s="788" t="s">
        <v>542</v>
      </c>
      <c r="E430" s="843" t="s">
        <v>542</v>
      </c>
      <c r="F430" s="773" t="str">
        <f t="shared" si="576"/>
        <v>N</v>
      </c>
      <c r="G430" s="773" t="str">
        <f t="shared" si="577"/>
        <v>A</v>
      </c>
      <c r="H430" s="773"/>
      <c r="I430" s="773"/>
      <c r="J430" s="773"/>
      <c r="K430" s="773"/>
      <c r="L430" s="773"/>
      <c r="M430" s="773" t="s">
        <v>542</v>
      </c>
      <c r="N430" s="773"/>
      <c r="O430" s="773"/>
      <c r="P430" s="773" t="str">
        <f t="shared" si="578"/>
        <v>A</v>
      </c>
      <c r="Q430" s="773" t="str">
        <f t="shared" si="579"/>
        <v>A</v>
      </c>
      <c r="R430" s="773" t="str">
        <f t="shared" si="580"/>
        <v>N</v>
      </c>
      <c r="S430" s="773" t="str">
        <f t="shared" si="581"/>
        <v>N</v>
      </c>
      <c r="T430" s="773" t="str">
        <f t="shared" si="582"/>
        <v>N</v>
      </c>
      <c r="U430" s="773" t="str">
        <f t="shared" si="583"/>
        <v>A</v>
      </c>
      <c r="V430" s="773" t="str">
        <f t="shared" si="584"/>
        <v>A</v>
      </c>
      <c r="W430" s="773" t="str">
        <f t="shared" si="584"/>
        <v>A</v>
      </c>
      <c r="X430" s="773" t="str">
        <f t="shared" si="585"/>
        <v>A</v>
      </c>
      <c r="Y430" s="773" t="str">
        <f t="shared" si="586"/>
        <v>N</v>
      </c>
      <c r="Z430" s="773" t="str">
        <f t="shared" si="587"/>
        <v>N</v>
      </c>
      <c r="AA430" s="773" t="str">
        <f t="shared" si="588"/>
        <v>A</v>
      </c>
      <c r="AB430" s="773" t="str">
        <f t="shared" si="589"/>
        <v>A</v>
      </c>
      <c r="AC430" s="773" t="str">
        <f t="shared" si="590"/>
        <v>N</v>
      </c>
      <c r="AD430" s="876"/>
      <c r="AE430" s="863"/>
      <c r="AF430" s="870"/>
      <c r="AG430" s="1019"/>
      <c r="AH430" s="802"/>
      <c r="AI430" s="803"/>
    </row>
    <row r="431" spans="1:51" hidden="1" outlineLevel="1" x14ac:dyDescent="0.3">
      <c r="A431" s="159"/>
      <c r="B431" s="1191"/>
      <c r="C431" s="735" t="str">
        <f>'Optimalizačné opatrenia'!$B$10</f>
        <v>Transparentnosť</v>
      </c>
      <c r="D431" s="788" t="s">
        <v>542</v>
      </c>
      <c r="E431" s="843" t="s">
        <v>542</v>
      </c>
      <c r="F431" s="773" t="str">
        <f t="shared" si="576"/>
        <v>N</v>
      </c>
      <c r="G431" s="773" t="str">
        <f t="shared" si="577"/>
        <v>N</v>
      </c>
      <c r="H431" s="773"/>
      <c r="I431" s="773"/>
      <c r="J431" s="773"/>
      <c r="K431" s="773"/>
      <c r="L431" s="773"/>
      <c r="M431" s="773" t="s">
        <v>542</v>
      </c>
      <c r="N431" s="773"/>
      <c r="O431" s="773"/>
      <c r="P431" s="773" t="str">
        <f t="shared" si="578"/>
        <v>A</v>
      </c>
      <c r="Q431" s="773" t="str">
        <f t="shared" si="579"/>
        <v>N</v>
      </c>
      <c r="R431" s="773" t="str">
        <f t="shared" si="580"/>
        <v>N</v>
      </c>
      <c r="S431" s="773" t="str">
        <f t="shared" si="581"/>
        <v>N</v>
      </c>
      <c r="T431" s="773" t="str">
        <f t="shared" si="582"/>
        <v>N</v>
      </c>
      <c r="U431" s="773" t="str">
        <f t="shared" si="583"/>
        <v>N</v>
      </c>
      <c r="V431" s="773" t="str">
        <f t="shared" si="584"/>
        <v>A</v>
      </c>
      <c r="W431" s="773" t="str">
        <f t="shared" si="584"/>
        <v>N</v>
      </c>
      <c r="X431" s="773" t="str">
        <f t="shared" si="585"/>
        <v>N</v>
      </c>
      <c r="Y431" s="773" t="str">
        <f t="shared" si="586"/>
        <v>N</v>
      </c>
      <c r="Z431" s="773" t="str">
        <f t="shared" si="587"/>
        <v>N</v>
      </c>
      <c r="AA431" s="773" t="str">
        <f t="shared" si="588"/>
        <v>A</v>
      </c>
      <c r="AB431" s="773" t="str">
        <f t="shared" si="589"/>
        <v>N</v>
      </c>
      <c r="AC431" s="773" t="str">
        <f t="shared" si="590"/>
        <v>N</v>
      </c>
      <c r="AD431" s="876"/>
      <c r="AE431" s="863"/>
      <c r="AF431" s="870"/>
      <c r="AG431" s="1019"/>
      <c r="AH431" s="802"/>
      <c r="AI431" s="803"/>
    </row>
    <row r="432" spans="1:51" hidden="1" outlineLevel="1" x14ac:dyDescent="0.3">
      <c r="A432" s="159"/>
      <c r="B432" s="1191"/>
      <c r="C432" s="735" t="str">
        <f>'Optimalizačné opatrenia'!$B$11</f>
        <v>Analyzovatelnosť</v>
      </c>
      <c r="D432" s="788" t="s">
        <v>542</v>
      </c>
      <c r="E432" s="843" t="s">
        <v>542</v>
      </c>
      <c r="F432" s="773" t="str">
        <f t="shared" si="576"/>
        <v>N</v>
      </c>
      <c r="G432" s="773" t="str">
        <f t="shared" si="577"/>
        <v>A</v>
      </c>
      <c r="H432" s="773"/>
      <c r="I432" s="773"/>
      <c r="J432" s="773"/>
      <c r="K432" s="773"/>
      <c r="L432" s="773"/>
      <c r="M432" s="773" t="s">
        <v>542</v>
      </c>
      <c r="N432" s="773"/>
      <c r="O432" s="773"/>
      <c r="P432" s="773" t="str">
        <f t="shared" si="578"/>
        <v>A</v>
      </c>
      <c r="Q432" s="773" t="str">
        <f t="shared" si="579"/>
        <v>A</v>
      </c>
      <c r="R432" s="773" t="str">
        <f t="shared" si="580"/>
        <v>N</v>
      </c>
      <c r="S432" s="773" t="str">
        <f t="shared" si="581"/>
        <v>N</v>
      </c>
      <c r="T432" s="773" t="str">
        <f t="shared" si="582"/>
        <v>N</v>
      </c>
      <c r="U432" s="773" t="str">
        <f t="shared" si="583"/>
        <v>A</v>
      </c>
      <c r="V432" s="773" t="str">
        <f t="shared" si="584"/>
        <v>A</v>
      </c>
      <c r="W432" s="773" t="str">
        <f t="shared" si="584"/>
        <v>A</v>
      </c>
      <c r="X432" s="773" t="str">
        <f t="shared" si="585"/>
        <v>A</v>
      </c>
      <c r="Y432" s="773" t="str">
        <f t="shared" si="586"/>
        <v>N</v>
      </c>
      <c r="Z432" s="773" t="str">
        <f t="shared" si="587"/>
        <v>N</v>
      </c>
      <c r="AA432" s="773" t="str">
        <f t="shared" si="588"/>
        <v>A</v>
      </c>
      <c r="AB432" s="773" t="str">
        <f t="shared" si="589"/>
        <v>A</v>
      </c>
      <c r="AC432" s="773" t="str">
        <f t="shared" si="590"/>
        <v>N</v>
      </c>
      <c r="AD432" s="876"/>
      <c r="AE432" s="863"/>
      <c r="AF432" s="870"/>
      <c r="AG432" s="1019"/>
      <c r="AH432" s="802"/>
      <c r="AI432" s="803"/>
    </row>
    <row r="433" spans="1:51" hidden="1" outlineLevel="1" x14ac:dyDescent="0.3">
      <c r="A433" s="159"/>
      <c r="B433" s="1191"/>
      <c r="C433" s="735" t="str">
        <f>'Optimalizačné opatrenia'!$B$12</f>
        <v>Integrácia</v>
      </c>
      <c r="D433" s="788" t="s">
        <v>542</v>
      </c>
      <c r="E433" s="843" t="s">
        <v>542</v>
      </c>
      <c r="F433" s="773" t="str">
        <f t="shared" si="576"/>
        <v>N</v>
      </c>
      <c r="G433" s="773" t="str">
        <f t="shared" si="577"/>
        <v>A</v>
      </c>
      <c r="H433" s="773"/>
      <c r="I433" s="773"/>
      <c r="J433" s="773"/>
      <c r="K433" s="773"/>
      <c r="L433" s="773"/>
      <c r="M433" s="773" t="s">
        <v>542</v>
      </c>
      <c r="N433" s="773"/>
      <c r="O433" s="773"/>
      <c r="P433" s="773" t="str">
        <f t="shared" si="578"/>
        <v>A</v>
      </c>
      <c r="Q433" s="773" t="str">
        <f t="shared" si="579"/>
        <v>A</v>
      </c>
      <c r="R433" s="773" t="str">
        <f t="shared" si="580"/>
        <v>A</v>
      </c>
      <c r="S433" s="773" t="str">
        <f t="shared" si="581"/>
        <v>A</v>
      </c>
      <c r="T433" s="773" t="str">
        <f t="shared" si="582"/>
        <v>A</v>
      </c>
      <c r="U433" s="773" t="str">
        <f t="shared" si="583"/>
        <v>A</v>
      </c>
      <c r="V433" s="773" t="str">
        <f t="shared" si="584"/>
        <v>A</v>
      </c>
      <c r="W433" s="773" t="str">
        <f t="shared" si="584"/>
        <v>A</v>
      </c>
      <c r="X433" s="773" t="str">
        <f t="shared" si="585"/>
        <v>A</v>
      </c>
      <c r="Y433" s="773" t="str">
        <f t="shared" si="586"/>
        <v>A</v>
      </c>
      <c r="Z433" s="773" t="str">
        <f t="shared" si="587"/>
        <v>A</v>
      </c>
      <c r="AA433" s="773" t="str">
        <f t="shared" si="588"/>
        <v>A</v>
      </c>
      <c r="AB433" s="773" t="str">
        <f t="shared" si="589"/>
        <v>A</v>
      </c>
      <c r="AC433" s="773" t="str">
        <f t="shared" si="590"/>
        <v>A</v>
      </c>
      <c r="AD433" s="876"/>
      <c r="AE433" s="863"/>
      <c r="AF433" s="870"/>
      <c r="AG433" s="1019"/>
      <c r="AH433" s="802"/>
      <c r="AI433" s="803"/>
    </row>
    <row r="434" spans="1:51" hidden="1" outlineLevel="1" x14ac:dyDescent="0.3">
      <c r="A434" s="159"/>
      <c r="B434" s="1191"/>
      <c r="C434" s="740" t="str">
        <f>'Optimalizačné opatrenia'!$B$13</f>
        <v>Proaktivita</v>
      </c>
      <c r="D434" s="788" t="s">
        <v>542</v>
      </c>
      <c r="E434" s="843" t="s">
        <v>542</v>
      </c>
      <c r="F434" s="773" t="str">
        <f t="shared" si="576"/>
        <v>N</v>
      </c>
      <c r="G434" s="773" t="str">
        <f t="shared" si="577"/>
        <v>N</v>
      </c>
      <c r="H434" s="773"/>
      <c r="I434" s="773"/>
      <c r="J434" s="773"/>
      <c r="K434" s="773"/>
      <c r="L434" s="773"/>
      <c r="M434" s="773" t="s">
        <v>542</v>
      </c>
      <c r="N434" s="773"/>
      <c r="O434" s="773"/>
      <c r="P434" s="773" t="str">
        <f t="shared" si="578"/>
        <v>N</v>
      </c>
      <c r="Q434" s="773" t="str">
        <f t="shared" si="579"/>
        <v>N</v>
      </c>
      <c r="R434" s="773" t="str">
        <f t="shared" si="580"/>
        <v>A</v>
      </c>
      <c r="S434" s="773" t="str">
        <f t="shared" si="581"/>
        <v>A</v>
      </c>
      <c r="T434" s="773" t="str">
        <f t="shared" si="582"/>
        <v>A</v>
      </c>
      <c r="U434" s="773" t="str">
        <f t="shared" si="583"/>
        <v>N</v>
      </c>
      <c r="V434" s="773" t="str">
        <f t="shared" si="584"/>
        <v>A</v>
      </c>
      <c r="W434" s="773" t="str">
        <f t="shared" si="584"/>
        <v>N</v>
      </c>
      <c r="X434" s="773" t="str">
        <f t="shared" si="585"/>
        <v>N</v>
      </c>
      <c r="Y434" s="773" t="str">
        <f t="shared" si="586"/>
        <v>A</v>
      </c>
      <c r="Z434" s="773" t="str">
        <f t="shared" si="587"/>
        <v>A</v>
      </c>
      <c r="AA434" s="773" t="str">
        <f t="shared" si="588"/>
        <v>A</v>
      </c>
      <c r="AB434" s="773" t="str">
        <f t="shared" si="589"/>
        <v>N</v>
      </c>
      <c r="AC434" s="773" t="str">
        <f t="shared" si="590"/>
        <v>A</v>
      </c>
      <c r="AD434" s="876"/>
      <c r="AE434" s="863"/>
      <c r="AF434" s="870"/>
      <c r="AG434" s="1019"/>
      <c r="AH434" s="802"/>
      <c r="AI434" s="803"/>
    </row>
    <row r="435" spans="1:51" hidden="1" outlineLevel="1" x14ac:dyDescent="0.3">
      <c r="A435" s="159"/>
      <c r="B435" s="790"/>
      <c r="C435" s="792" t="s">
        <v>550</v>
      </c>
      <c r="D435" s="844">
        <v>0</v>
      </c>
      <c r="E435" s="791">
        <v>0</v>
      </c>
      <c r="F435" s="794">
        <f t="shared" si="576"/>
        <v>0</v>
      </c>
      <c r="G435" s="794">
        <f t="shared" si="577"/>
        <v>0.3</v>
      </c>
      <c r="H435" s="794"/>
      <c r="I435" s="794"/>
      <c r="J435" s="794"/>
      <c r="K435" s="794"/>
      <c r="L435" s="794"/>
      <c r="M435" s="794">
        <v>0</v>
      </c>
      <c r="N435" s="794"/>
      <c r="O435" s="794"/>
      <c r="P435" s="794">
        <f t="shared" si="578"/>
        <v>0.45</v>
      </c>
      <c r="Q435" s="794">
        <f t="shared" si="579"/>
        <v>0.3</v>
      </c>
      <c r="R435" s="794">
        <f t="shared" si="580"/>
        <v>0.25</v>
      </c>
      <c r="S435" s="794">
        <f t="shared" si="581"/>
        <v>0.25</v>
      </c>
      <c r="T435" s="794">
        <f t="shared" si="582"/>
        <v>0.25</v>
      </c>
      <c r="U435" s="794">
        <f t="shared" si="583"/>
        <v>0.3</v>
      </c>
      <c r="V435" s="794">
        <f t="shared" si="584"/>
        <v>0.5</v>
      </c>
      <c r="W435" s="794">
        <f t="shared" si="584"/>
        <v>0.3</v>
      </c>
      <c r="X435" s="794">
        <f t="shared" si="585"/>
        <v>0.3</v>
      </c>
      <c r="Y435" s="794">
        <f t="shared" si="586"/>
        <v>0.25</v>
      </c>
      <c r="Z435" s="794">
        <f t="shared" si="587"/>
        <v>0.25</v>
      </c>
      <c r="AA435" s="794">
        <f t="shared" si="588"/>
        <v>0.5</v>
      </c>
      <c r="AB435" s="794">
        <f t="shared" si="589"/>
        <v>0.3</v>
      </c>
      <c r="AC435" s="794">
        <f t="shared" si="590"/>
        <v>0.25</v>
      </c>
      <c r="AD435" s="877"/>
      <c r="AE435" s="864"/>
      <c r="AF435" s="871"/>
      <c r="AG435" s="1020"/>
      <c r="AH435" s="805"/>
      <c r="AI435" s="806"/>
    </row>
    <row r="436" spans="1:51" collapsed="1" x14ac:dyDescent="0.3">
      <c r="A436" s="159"/>
      <c r="B436" s="837"/>
      <c r="C436" s="838" t="s">
        <v>601</v>
      </c>
      <c r="D436" s="839"/>
      <c r="E436" s="839"/>
      <c r="F436" s="839"/>
      <c r="G436" s="840"/>
      <c r="H436" s="840"/>
      <c r="I436" s="840"/>
      <c r="J436" s="840"/>
      <c r="K436" s="840"/>
      <c r="L436" s="840"/>
      <c r="M436" s="840"/>
      <c r="N436" s="840"/>
      <c r="O436" s="840"/>
      <c r="P436" s="840"/>
      <c r="Q436" s="840"/>
      <c r="R436" s="840"/>
      <c r="S436" s="840"/>
      <c r="T436" s="840"/>
      <c r="U436" s="840"/>
      <c r="V436" s="840"/>
      <c r="W436" s="840"/>
      <c r="X436" s="840"/>
      <c r="Y436" s="840"/>
      <c r="Z436" s="840"/>
      <c r="AA436" s="840"/>
      <c r="AB436" s="840"/>
      <c r="AC436" s="840"/>
      <c r="AD436" s="878"/>
      <c r="AE436" s="866"/>
      <c r="AF436" s="874">
        <f>'Procesy - AS IS'!AG106/(1+$AE421)-'Procesy - AS IS'!AG106</f>
        <v>0</v>
      </c>
      <c r="AG436" s="1023">
        <f>'Procesy - AS IS'!AH106/(1+$AE421)-'Procesy - AS IS'!AH106</f>
        <v>0</v>
      </c>
      <c r="AH436" s="841">
        <f>'Procesy - AS IS'!AI106/(1+$AE421)-'Procesy - AS IS'!AI106</f>
        <v>0</v>
      </c>
      <c r="AI436" s="842">
        <f>'Procesy - AS IS'!AJ106/(1+$AE421)-'Procesy - AS IS'!AJ106</f>
        <v>0</v>
      </c>
    </row>
    <row r="437" spans="1:51" ht="6" customHeight="1" thickBot="1" x14ac:dyDescent="0.35">
      <c r="B437" s="845"/>
      <c r="C437" s="846"/>
      <c r="D437" s="847"/>
      <c r="E437" s="848"/>
      <c r="F437" s="848"/>
      <c r="G437" s="849"/>
      <c r="H437" s="849"/>
      <c r="I437" s="849"/>
      <c r="J437" s="849"/>
      <c r="K437" s="849"/>
      <c r="L437" s="849"/>
      <c r="M437" s="849"/>
      <c r="N437" s="849"/>
      <c r="O437" s="849"/>
      <c r="P437" s="849"/>
      <c r="Q437" s="849"/>
      <c r="R437" s="849"/>
      <c r="S437" s="849"/>
      <c r="T437" s="849"/>
      <c r="U437" s="849"/>
      <c r="V437" s="849"/>
      <c r="W437" s="849"/>
      <c r="X437" s="849"/>
      <c r="Y437" s="849"/>
      <c r="Z437" s="849"/>
      <c r="AA437" s="849"/>
      <c r="AB437" s="849"/>
      <c r="AC437" s="848"/>
      <c r="AD437" s="879"/>
      <c r="AE437" s="850"/>
      <c r="AF437" s="851"/>
      <c r="AG437" s="1024"/>
      <c r="AH437" s="851"/>
      <c r="AI437" s="852"/>
      <c r="AK437" s="232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</row>
    <row r="439" spans="1:51" x14ac:dyDescent="0.3">
      <c r="B439" s="101" t="s">
        <v>552</v>
      </c>
    </row>
    <row r="440" spans="1:51" x14ac:dyDescent="0.3">
      <c r="B440" t="s">
        <v>560</v>
      </c>
      <c r="F440" s="745">
        <v>4</v>
      </c>
    </row>
    <row r="441" spans="1:51" x14ac:dyDescent="0.3">
      <c r="B441" t="s">
        <v>318</v>
      </c>
      <c r="F441" s="745">
        <f>'Počet inšpektorov'!$C$8</f>
        <v>111</v>
      </c>
      <c r="AL441"/>
      <c r="AM441"/>
      <c r="AN441"/>
      <c r="AO441"/>
      <c r="AP441"/>
      <c r="AQ441"/>
      <c r="AR441"/>
      <c r="AS441"/>
      <c r="AT441"/>
      <c r="AU441"/>
      <c r="AV441"/>
      <c r="AW441"/>
      <c r="AX441"/>
    </row>
    <row r="442" spans="1:51" x14ac:dyDescent="0.3">
      <c r="B442" t="s">
        <v>637</v>
      </c>
      <c r="F442" s="746">
        <f>F440/F441</f>
        <v>3.6036036036036036E-2</v>
      </c>
      <c r="AB442" s="860"/>
      <c r="AF442" s="897">
        <f>('Procesy - AS IS'!AG4+'Procesy - ∆'!AF4)*$F442</f>
        <v>145.0576386766358</v>
      </c>
      <c r="AG442" s="897">
        <f>('Procesy - AS IS'!AH4+'Procesy - ∆'!AG4)*$F442</f>
        <v>49.610504407646339</v>
      </c>
      <c r="AH442" s="897">
        <f>('Procesy - AS IS'!AI4+'Procesy - ∆'!AH4)*$F442</f>
        <v>32.174254760714099</v>
      </c>
      <c r="AI442" s="897">
        <f>('Procesy - AS IS'!AJ4+'Procesy - ∆'!AI4)*$F442</f>
        <v>5.2421702901417229</v>
      </c>
      <c r="AL442"/>
      <c r="AM442"/>
      <c r="AN442"/>
      <c r="AO442"/>
      <c r="AP442"/>
      <c r="AQ442"/>
      <c r="AR442"/>
      <c r="AS442"/>
      <c r="AT442"/>
      <c r="AU442"/>
      <c r="AV442"/>
      <c r="AW442"/>
      <c r="AX442"/>
    </row>
    <row r="443" spans="1:51" x14ac:dyDescent="0.3">
      <c r="B443" s="1050" t="str">
        <f>"Prírastkok počtu kontrol so zistením na úroveň "&amp;TEXT(Faktory!D18,"0%")&amp;" celkového počtu kontrol"</f>
        <v>Prírastkok počtu kontrol so zistením na úroveň 40% celkového počtu kontrol</v>
      </c>
      <c r="F443" s="746"/>
      <c r="AF443" s="897">
        <v>0</v>
      </c>
      <c r="AG443" s="897">
        <f>AG444-AG442-AG4</f>
        <v>241.86084306147984</v>
      </c>
      <c r="AH443" s="917" t="s">
        <v>319</v>
      </c>
      <c r="AI443" s="917" t="s">
        <v>319</v>
      </c>
    </row>
    <row r="444" spans="1:51" s="101" customFormat="1" x14ac:dyDescent="0.3">
      <c r="B444" s="101" t="s">
        <v>561</v>
      </c>
      <c r="D444" s="762"/>
      <c r="E444" s="762"/>
      <c r="F444" s="762"/>
      <c r="G444" s="762"/>
      <c r="H444" s="762"/>
      <c r="I444" s="762"/>
      <c r="J444" s="762"/>
      <c r="K444" s="762"/>
      <c r="L444" s="762"/>
      <c r="M444" s="762"/>
      <c r="N444" s="762"/>
      <c r="O444" s="762"/>
      <c r="P444" s="762"/>
      <c r="Q444" s="762"/>
      <c r="R444" s="762"/>
      <c r="S444" s="762"/>
      <c r="T444" s="762"/>
      <c r="U444" s="762"/>
      <c r="V444" s="762"/>
      <c r="W444" s="762"/>
      <c r="X444" s="762"/>
      <c r="Y444" s="762"/>
      <c r="Z444" s="762"/>
      <c r="AA444" s="762"/>
      <c r="AB444" s="762"/>
      <c r="AC444" s="762"/>
      <c r="AD444" s="762"/>
      <c r="AE444" s="762"/>
      <c r="AF444" s="898">
        <f>SUM(AF4,AF442:AF443)</f>
        <v>1511.4071119532798</v>
      </c>
      <c r="AG444" s="898">
        <f>('Procesy - TO BE'!AF52-'Procesy - AS IS'!AH4)*(1+AG447)</f>
        <v>768.16284478131206</v>
      </c>
      <c r="AH444" s="918" t="s">
        <v>319</v>
      </c>
      <c r="AI444" s="918" t="s">
        <v>319</v>
      </c>
      <c r="AJ444" s="762"/>
      <c r="AK444" s="762"/>
      <c r="AL444" s="762"/>
      <c r="AM444" s="762"/>
      <c r="AN444" s="762"/>
      <c r="AO444" s="762"/>
      <c r="AP444" s="762"/>
      <c r="AQ444" s="762"/>
      <c r="AR444" s="762"/>
      <c r="AS444" s="762"/>
      <c r="AT444" s="762"/>
      <c r="AU444" s="762"/>
      <c r="AV444" s="762"/>
      <c r="AW444" s="762"/>
      <c r="AX444" s="762"/>
    </row>
    <row r="445" spans="1:51" x14ac:dyDescent="0.3">
      <c r="B445" t="s">
        <v>566</v>
      </c>
      <c r="AF445" s="883">
        <f>AF444/'Procesy - AS IS'!AG4</f>
        <v>0.56841185105426095</v>
      </c>
      <c r="AG445" s="883">
        <f>AG444/'Procesy - AS IS'!AH4</f>
        <v>0.85351427197923557</v>
      </c>
      <c r="AH445" s="917" t="s">
        <v>319</v>
      </c>
      <c r="AI445" s="917" t="s">
        <v>319</v>
      </c>
    </row>
    <row r="446" spans="1:51" x14ac:dyDescent="0.3">
      <c r="AF446"/>
      <c r="AG446"/>
      <c r="AH446"/>
      <c r="AI446"/>
    </row>
    <row r="447" spans="1:51" x14ac:dyDescent="0.3">
      <c r="AE447" s="764" t="s">
        <v>565</v>
      </c>
      <c r="AF447" s="767">
        <v>0</v>
      </c>
      <c r="AG447" s="767">
        <f>$AF$447</f>
        <v>0</v>
      </c>
      <c r="AH447" s="1217"/>
      <c r="AY447" s="227"/>
    </row>
    <row r="448" spans="1:51" x14ac:dyDescent="0.3">
      <c r="AY448" s="227"/>
    </row>
  </sheetData>
  <mergeCells count="30">
    <mergeCell ref="B379:B390"/>
    <mergeCell ref="B7:B18"/>
    <mergeCell ref="B21:B32"/>
    <mergeCell ref="B35:B46"/>
    <mergeCell ref="B193:B204"/>
    <mergeCell ref="B221:B232"/>
    <mergeCell ref="B107:B118"/>
    <mergeCell ref="B121:B132"/>
    <mergeCell ref="B163:B174"/>
    <mergeCell ref="B177:B188"/>
    <mergeCell ref="B49:B60"/>
    <mergeCell ref="B63:B74"/>
    <mergeCell ref="B135:B146"/>
    <mergeCell ref="B149:B160"/>
    <mergeCell ref="B393:B404"/>
    <mergeCell ref="B407:B418"/>
    <mergeCell ref="B77:B88"/>
    <mergeCell ref="B93:B104"/>
    <mergeCell ref="B423:B434"/>
    <mergeCell ref="B207:B218"/>
    <mergeCell ref="B263:B274"/>
    <mergeCell ref="B277:B288"/>
    <mergeCell ref="B293:B304"/>
    <mergeCell ref="B335:B346"/>
    <mergeCell ref="B351:B362"/>
    <mergeCell ref="B235:B246"/>
    <mergeCell ref="B249:B260"/>
    <mergeCell ref="B307:B318"/>
    <mergeCell ref="B321:B332"/>
    <mergeCell ref="B365:B376"/>
  </mergeCells>
  <conditionalFormatting sqref="AC119:AG119 AD107:AG118 AC33:AG33 AD21:AG32 AC47:AG47 AD35:AG46 AC90:AF90 AC133:AG133 AD121:AG132 AC163:AG175 AC190:AE190 AC177:AG189 AC77:AG89 AD93:AG105 D7:AG19">
    <cfRule type="cellIs" dxfId="363" priority="437" operator="equal">
      <formula>"N"</formula>
    </cfRule>
    <cfRule type="cellIs" dxfId="362" priority="438" operator="equal">
      <formula>"A"</formula>
    </cfRule>
  </conditionalFormatting>
  <conditionalFormatting sqref="D33">
    <cfRule type="cellIs" dxfId="361" priority="403" operator="equal">
      <formula>"N"</formula>
    </cfRule>
    <cfRule type="cellIs" dxfId="360" priority="404" operator="equal">
      <formula>"A"</formula>
    </cfRule>
  </conditionalFormatting>
  <conditionalFormatting sqref="E47">
    <cfRule type="cellIs" dxfId="359" priority="393" operator="equal">
      <formula>"N"</formula>
    </cfRule>
    <cfRule type="cellIs" dxfId="358" priority="394" operator="equal">
      <formula>"A"</formula>
    </cfRule>
  </conditionalFormatting>
  <conditionalFormatting sqref="E33">
    <cfRule type="cellIs" dxfId="357" priority="401" operator="equal">
      <formula>"N"</formula>
    </cfRule>
    <cfRule type="cellIs" dxfId="356" priority="402" operator="equal">
      <formula>"A"</formula>
    </cfRule>
  </conditionalFormatting>
  <conditionalFormatting sqref="F119:AA119">
    <cfRule type="cellIs" dxfId="355" priority="375" operator="equal">
      <formula>"N"</formula>
    </cfRule>
    <cfRule type="cellIs" dxfId="354" priority="376" operator="equal">
      <formula>"A"</formula>
    </cfRule>
  </conditionalFormatting>
  <conditionalFormatting sqref="F33:AA33">
    <cfRule type="cellIs" dxfId="353" priority="407" operator="equal">
      <formula>"N"</formula>
    </cfRule>
    <cfRule type="cellIs" dxfId="352" priority="408" operator="equal">
      <formula>"A"</formula>
    </cfRule>
  </conditionalFormatting>
  <conditionalFormatting sqref="AB33">
    <cfRule type="cellIs" dxfId="351" priority="405" operator="equal">
      <formula>"N"</formula>
    </cfRule>
    <cfRule type="cellIs" dxfId="350" priority="406" operator="equal">
      <formula>"A"</formula>
    </cfRule>
  </conditionalFormatting>
  <conditionalFormatting sqref="D47">
    <cfRule type="cellIs" dxfId="349" priority="395" operator="equal">
      <formula>"N"</formula>
    </cfRule>
    <cfRule type="cellIs" dxfId="348" priority="396" operator="equal">
      <formula>"A"</formula>
    </cfRule>
  </conditionalFormatting>
  <conditionalFormatting sqref="F47:AA47">
    <cfRule type="cellIs" dxfId="347" priority="399" operator="equal">
      <formula>"N"</formula>
    </cfRule>
    <cfRule type="cellIs" dxfId="346" priority="400" operator="equal">
      <formula>"A"</formula>
    </cfRule>
  </conditionalFormatting>
  <conditionalFormatting sqref="AB47">
    <cfRule type="cellIs" dxfId="345" priority="397" operator="equal">
      <formula>"N"</formula>
    </cfRule>
    <cfRule type="cellIs" dxfId="344" priority="398" operator="equal">
      <formula>"A"</formula>
    </cfRule>
  </conditionalFormatting>
  <conditionalFormatting sqref="D77:D90">
    <cfRule type="cellIs" dxfId="343" priority="387" operator="equal">
      <formula>"N"</formula>
    </cfRule>
    <cfRule type="cellIs" dxfId="342" priority="388" operator="equal">
      <formula>"A"</formula>
    </cfRule>
  </conditionalFormatting>
  <conditionalFormatting sqref="E77:E90">
    <cfRule type="cellIs" dxfId="341" priority="385" operator="equal">
      <formula>"N"</formula>
    </cfRule>
    <cfRule type="cellIs" dxfId="340" priority="386" operator="equal">
      <formula>"A"</formula>
    </cfRule>
  </conditionalFormatting>
  <conditionalFormatting sqref="F77:AA90">
    <cfRule type="cellIs" dxfId="339" priority="391" operator="equal">
      <formula>"N"</formula>
    </cfRule>
    <cfRule type="cellIs" dxfId="338" priority="392" operator="equal">
      <formula>"A"</formula>
    </cfRule>
  </conditionalFormatting>
  <conditionalFormatting sqref="AB77:AB90">
    <cfRule type="cellIs" dxfId="337" priority="389" operator="equal">
      <formula>"N"</formula>
    </cfRule>
    <cfRule type="cellIs" dxfId="336" priority="390" operator="equal">
      <formula>"A"</formula>
    </cfRule>
  </conditionalFormatting>
  <conditionalFormatting sqref="D21:AC32">
    <cfRule type="cellIs" dxfId="335" priority="383" operator="equal">
      <formula>"N"</formula>
    </cfRule>
    <cfRule type="cellIs" dxfId="334" priority="384" operator="equal">
      <formula>"A"</formula>
    </cfRule>
  </conditionalFormatting>
  <conditionalFormatting sqref="D36:AC46 D35:U35 W35:AC35">
    <cfRule type="cellIs" dxfId="333" priority="381" operator="equal">
      <formula>"N"</formula>
    </cfRule>
    <cfRule type="cellIs" dxfId="332" priority="382" operator="equal">
      <formula>"A"</formula>
    </cfRule>
  </conditionalFormatting>
  <conditionalFormatting sqref="V35">
    <cfRule type="cellIs" dxfId="331" priority="379" operator="equal">
      <formula>"N"</formula>
    </cfRule>
    <cfRule type="cellIs" dxfId="330" priority="380" operator="equal">
      <formula>"A"</formula>
    </cfRule>
  </conditionalFormatting>
  <conditionalFormatting sqref="F133:AA133">
    <cfRule type="cellIs" dxfId="329" priority="367" operator="equal">
      <formula>"N"</formula>
    </cfRule>
    <cfRule type="cellIs" dxfId="328" priority="368" operator="equal">
      <formula>"A"</formula>
    </cfRule>
  </conditionalFormatting>
  <conditionalFormatting sqref="D119">
    <cfRule type="cellIs" dxfId="327" priority="371" operator="equal">
      <formula>"N"</formula>
    </cfRule>
    <cfRule type="cellIs" dxfId="326" priority="372" operator="equal">
      <formula>"A"</formula>
    </cfRule>
  </conditionalFormatting>
  <conditionalFormatting sqref="E119">
    <cfRule type="cellIs" dxfId="325" priority="369" operator="equal">
      <formula>"N"</formula>
    </cfRule>
    <cfRule type="cellIs" dxfId="324" priority="370" operator="equal">
      <formula>"A"</formula>
    </cfRule>
  </conditionalFormatting>
  <conditionalFormatting sqref="AB133">
    <cfRule type="cellIs" dxfId="323" priority="365" operator="equal">
      <formula>"N"</formula>
    </cfRule>
    <cfRule type="cellIs" dxfId="322" priority="366" operator="equal">
      <formula>"A"</formula>
    </cfRule>
  </conditionalFormatting>
  <conditionalFormatting sqref="AB119">
    <cfRule type="cellIs" dxfId="321" priority="373" operator="equal">
      <formula>"N"</formula>
    </cfRule>
    <cfRule type="cellIs" dxfId="320" priority="374" operator="equal">
      <formula>"A"</formula>
    </cfRule>
  </conditionalFormatting>
  <conditionalFormatting sqref="D133">
    <cfRule type="cellIs" dxfId="319" priority="363" operator="equal">
      <formula>"N"</formula>
    </cfRule>
    <cfRule type="cellIs" dxfId="318" priority="364" operator="equal">
      <formula>"A"</formula>
    </cfRule>
  </conditionalFormatting>
  <conditionalFormatting sqref="E133">
    <cfRule type="cellIs" dxfId="317" priority="361" operator="equal">
      <formula>"N"</formula>
    </cfRule>
    <cfRule type="cellIs" dxfId="316" priority="362" operator="equal">
      <formula>"A"</formula>
    </cfRule>
  </conditionalFormatting>
  <conditionalFormatting sqref="D163:D175 D190">
    <cfRule type="cellIs" dxfId="315" priority="355" operator="equal">
      <formula>"N"</formula>
    </cfRule>
    <cfRule type="cellIs" dxfId="314" priority="356" operator="equal">
      <formula>"A"</formula>
    </cfRule>
  </conditionalFormatting>
  <conditionalFormatting sqref="E163:E175 E190">
    <cfRule type="cellIs" dxfId="313" priority="353" operator="equal">
      <formula>"N"</formula>
    </cfRule>
    <cfRule type="cellIs" dxfId="312" priority="354" operator="equal">
      <formula>"A"</formula>
    </cfRule>
  </conditionalFormatting>
  <conditionalFormatting sqref="F163:AA175 F190:AA190">
    <cfRule type="cellIs" dxfId="311" priority="359" operator="equal">
      <formula>"N"</formula>
    </cfRule>
    <cfRule type="cellIs" dxfId="310" priority="360" operator="equal">
      <formula>"A"</formula>
    </cfRule>
  </conditionalFormatting>
  <conditionalFormatting sqref="AB163:AB175 AB190">
    <cfRule type="cellIs" dxfId="309" priority="357" operator="equal">
      <formula>"N"</formula>
    </cfRule>
    <cfRule type="cellIs" dxfId="308" priority="358" operator="equal">
      <formula>"A"</formula>
    </cfRule>
  </conditionalFormatting>
  <conditionalFormatting sqref="D93:AC105">
    <cfRule type="cellIs" dxfId="307" priority="351" operator="equal">
      <formula>"N"</formula>
    </cfRule>
    <cfRule type="cellIs" dxfId="306" priority="352" operator="equal">
      <formula>"A"</formula>
    </cfRule>
  </conditionalFormatting>
  <conditionalFormatting sqref="D107:AC118">
    <cfRule type="cellIs" dxfId="305" priority="349" operator="equal">
      <formula>"N"</formula>
    </cfRule>
    <cfRule type="cellIs" dxfId="304" priority="350" operator="equal">
      <formula>"A"</formula>
    </cfRule>
  </conditionalFormatting>
  <conditionalFormatting sqref="D122:AC132 D121:U121 W121:AC121">
    <cfRule type="cellIs" dxfId="303" priority="347" operator="equal">
      <formula>"N"</formula>
    </cfRule>
    <cfRule type="cellIs" dxfId="302" priority="348" operator="equal">
      <formula>"A"</formula>
    </cfRule>
  </conditionalFormatting>
  <conditionalFormatting sqref="V121">
    <cfRule type="cellIs" dxfId="301" priority="345" operator="equal">
      <formula>"N"</formula>
    </cfRule>
    <cfRule type="cellIs" dxfId="300" priority="346" operator="equal">
      <formula>"A"</formula>
    </cfRule>
  </conditionalFormatting>
  <conditionalFormatting sqref="D177:D189">
    <cfRule type="cellIs" dxfId="299" priority="339" operator="equal">
      <formula>"N"</formula>
    </cfRule>
    <cfRule type="cellIs" dxfId="298" priority="340" operator="equal">
      <formula>"A"</formula>
    </cfRule>
  </conditionalFormatting>
  <conditionalFormatting sqref="E177:E189">
    <cfRule type="cellIs" dxfId="297" priority="337" operator="equal">
      <formula>"N"</formula>
    </cfRule>
    <cfRule type="cellIs" dxfId="296" priority="338" operator="equal">
      <formula>"A"</formula>
    </cfRule>
  </conditionalFormatting>
  <conditionalFormatting sqref="F177:AA189">
    <cfRule type="cellIs" dxfId="295" priority="343" operator="equal">
      <formula>"N"</formula>
    </cfRule>
    <cfRule type="cellIs" dxfId="294" priority="344" operator="equal">
      <formula>"A"</formula>
    </cfRule>
  </conditionalFormatting>
  <conditionalFormatting sqref="AB177:AB189">
    <cfRule type="cellIs" dxfId="293" priority="341" operator="equal">
      <formula>"N"</formula>
    </cfRule>
    <cfRule type="cellIs" dxfId="292" priority="342" operator="equal">
      <formula>"A"</formula>
    </cfRule>
  </conditionalFormatting>
  <conditionalFormatting sqref="AD193:AG205 AC219:AG219 AD207:AG218 AC233:AG233 AD221:AG232 AC263:AG275 AC290:AE290 AC277:AG289">
    <cfRule type="cellIs" dxfId="291" priority="333" operator="equal">
      <formula>"N"</formula>
    </cfRule>
    <cfRule type="cellIs" dxfId="290" priority="334" operator="equal">
      <formula>"A"</formula>
    </cfRule>
  </conditionalFormatting>
  <conditionalFormatting sqref="F219:AA219">
    <cfRule type="cellIs" dxfId="289" priority="331" operator="equal">
      <formula>"N"</formula>
    </cfRule>
    <cfRule type="cellIs" dxfId="288" priority="332" operator="equal">
      <formula>"A"</formula>
    </cfRule>
  </conditionalFormatting>
  <conditionalFormatting sqref="F233:AA233">
    <cfRule type="cellIs" dxfId="287" priority="323" operator="equal">
      <formula>"N"</formula>
    </cfRule>
    <cfRule type="cellIs" dxfId="286" priority="324" operator="equal">
      <formula>"A"</formula>
    </cfRule>
  </conditionalFormatting>
  <conditionalFormatting sqref="D219">
    <cfRule type="cellIs" dxfId="285" priority="327" operator="equal">
      <formula>"N"</formula>
    </cfRule>
    <cfRule type="cellIs" dxfId="284" priority="328" operator="equal">
      <formula>"A"</formula>
    </cfRule>
  </conditionalFormatting>
  <conditionalFormatting sqref="E219">
    <cfRule type="cellIs" dxfId="283" priority="325" operator="equal">
      <formula>"N"</formula>
    </cfRule>
    <cfRule type="cellIs" dxfId="282" priority="326" operator="equal">
      <formula>"A"</formula>
    </cfRule>
  </conditionalFormatting>
  <conditionalFormatting sqref="AB233">
    <cfRule type="cellIs" dxfId="281" priority="321" operator="equal">
      <formula>"N"</formula>
    </cfRule>
    <cfRule type="cellIs" dxfId="280" priority="322" operator="equal">
      <formula>"A"</formula>
    </cfRule>
  </conditionalFormatting>
  <conditionalFormatting sqref="AB219">
    <cfRule type="cellIs" dxfId="279" priority="329" operator="equal">
      <formula>"N"</formula>
    </cfRule>
    <cfRule type="cellIs" dxfId="278" priority="330" operator="equal">
      <formula>"A"</formula>
    </cfRule>
  </conditionalFormatting>
  <conditionalFormatting sqref="D233">
    <cfRule type="cellIs" dxfId="277" priority="319" operator="equal">
      <formula>"N"</formula>
    </cfRule>
    <cfRule type="cellIs" dxfId="276" priority="320" operator="equal">
      <formula>"A"</formula>
    </cfRule>
  </conditionalFormatting>
  <conditionalFormatting sqref="E233">
    <cfRule type="cellIs" dxfId="275" priority="317" operator="equal">
      <formula>"N"</formula>
    </cfRule>
    <cfRule type="cellIs" dxfId="274" priority="318" operator="equal">
      <formula>"A"</formula>
    </cfRule>
  </conditionalFormatting>
  <conditionalFormatting sqref="D263:D275 D290">
    <cfRule type="cellIs" dxfId="273" priority="311" operator="equal">
      <formula>"N"</formula>
    </cfRule>
    <cfRule type="cellIs" dxfId="272" priority="312" operator="equal">
      <formula>"A"</formula>
    </cfRule>
  </conditionalFormatting>
  <conditionalFormatting sqref="E263:E275 E290">
    <cfRule type="cellIs" dxfId="271" priority="309" operator="equal">
      <formula>"N"</formula>
    </cfRule>
    <cfRule type="cellIs" dxfId="270" priority="310" operator="equal">
      <formula>"A"</formula>
    </cfRule>
  </conditionalFormatting>
  <conditionalFormatting sqref="F263:AA275 F290:AA290">
    <cfRule type="cellIs" dxfId="269" priority="315" operator="equal">
      <formula>"N"</formula>
    </cfRule>
    <cfRule type="cellIs" dxfId="268" priority="316" operator="equal">
      <formula>"A"</formula>
    </cfRule>
  </conditionalFormatting>
  <conditionalFormatting sqref="AB263:AB275 AB290">
    <cfRule type="cellIs" dxfId="267" priority="313" operator="equal">
      <formula>"N"</formula>
    </cfRule>
    <cfRule type="cellIs" dxfId="266" priority="314" operator="equal">
      <formula>"A"</formula>
    </cfRule>
  </conditionalFormatting>
  <conditionalFormatting sqref="D193:AC205">
    <cfRule type="cellIs" dxfId="265" priority="307" operator="equal">
      <formula>"N"</formula>
    </cfRule>
    <cfRule type="cellIs" dxfId="264" priority="308" operator="equal">
      <formula>"A"</formula>
    </cfRule>
  </conditionalFormatting>
  <conditionalFormatting sqref="D207:AC218">
    <cfRule type="cellIs" dxfId="263" priority="305" operator="equal">
      <formula>"N"</formula>
    </cfRule>
    <cfRule type="cellIs" dxfId="262" priority="306" operator="equal">
      <formula>"A"</formula>
    </cfRule>
  </conditionalFormatting>
  <conditionalFormatting sqref="D222:AC232 D221:U221 W221:AC221">
    <cfRule type="cellIs" dxfId="261" priority="303" operator="equal">
      <formula>"N"</formula>
    </cfRule>
    <cfRule type="cellIs" dxfId="260" priority="304" operator="equal">
      <formula>"A"</formula>
    </cfRule>
  </conditionalFormatting>
  <conditionalFormatting sqref="V221">
    <cfRule type="cellIs" dxfId="259" priority="301" operator="equal">
      <formula>"N"</formula>
    </cfRule>
    <cfRule type="cellIs" dxfId="258" priority="302" operator="equal">
      <formula>"A"</formula>
    </cfRule>
  </conditionalFormatting>
  <conditionalFormatting sqref="D277:D289">
    <cfRule type="cellIs" dxfId="257" priority="295" operator="equal">
      <formula>"N"</formula>
    </cfRule>
    <cfRule type="cellIs" dxfId="256" priority="296" operator="equal">
      <formula>"A"</formula>
    </cfRule>
  </conditionalFormatting>
  <conditionalFormatting sqref="E277:E289">
    <cfRule type="cellIs" dxfId="255" priority="293" operator="equal">
      <formula>"N"</formula>
    </cfRule>
    <cfRule type="cellIs" dxfId="254" priority="294" operator="equal">
      <formula>"A"</formula>
    </cfRule>
  </conditionalFormatting>
  <conditionalFormatting sqref="F277:AA289">
    <cfRule type="cellIs" dxfId="253" priority="299" operator="equal">
      <formula>"N"</formula>
    </cfRule>
    <cfRule type="cellIs" dxfId="252" priority="300" operator="equal">
      <formula>"A"</formula>
    </cfRule>
  </conditionalFormatting>
  <conditionalFormatting sqref="AB277:AB289">
    <cfRule type="cellIs" dxfId="251" priority="297" operator="equal">
      <formula>"N"</formula>
    </cfRule>
    <cfRule type="cellIs" dxfId="250" priority="298" operator="equal">
      <formula>"A"</formula>
    </cfRule>
  </conditionalFormatting>
  <conditionalFormatting sqref="AF348">
    <cfRule type="cellIs" dxfId="249" priority="235" operator="equal">
      <formula>"N"</formula>
    </cfRule>
    <cfRule type="cellIs" dxfId="248" priority="236" operator="equal">
      <formula>"A"</formula>
    </cfRule>
  </conditionalFormatting>
  <conditionalFormatting sqref="AF190">
    <cfRule type="cellIs" dxfId="247" priority="281" operator="equal">
      <formula>"N"</formula>
    </cfRule>
    <cfRule type="cellIs" dxfId="246" priority="282" operator="equal">
      <formula>"A"</formula>
    </cfRule>
  </conditionalFormatting>
  <conditionalFormatting sqref="AF290">
    <cfRule type="cellIs" dxfId="245" priority="279" operator="equal">
      <formula>"N"</formula>
    </cfRule>
    <cfRule type="cellIs" dxfId="244" priority="280" operator="equal">
      <formula>"A"</formula>
    </cfRule>
  </conditionalFormatting>
  <conditionalFormatting sqref="M347">
    <cfRule type="cellIs" dxfId="243" priority="233" operator="equal">
      <formula>"N"</formula>
    </cfRule>
    <cfRule type="cellIs" dxfId="242" priority="234" operator="equal">
      <formula>"A"</formula>
    </cfRule>
  </conditionalFormatting>
  <conditionalFormatting sqref="M335:M346">
    <cfRule type="cellIs" dxfId="241" priority="231" operator="equal">
      <formula>"N"</formula>
    </cfRule>
    <cfRule type="cellIs" dxfId="240" priority="232" operator="equal">
      <formula>"A"</formula>
    </cfRule>
  </conditionalFormatting>
  <conditionalFormatting sqref="L347">
    <cfRule type="cellIs" dxfId="239" priority="229" operator="equal">
      <formula>"N"</formula>
    </cfRule>
    <cfRule type="cellIs" dxfId="238" priority="230" operator="equal">
      <formula>"A"</formula>
    </cfRule>
  </conditionalFormatting>
  <conditionalFormatting sqref="F420:AA420">
    <cfRule type="cellIs" dxfId="237" priority="179" operator="equal">
      <formula>"N"</formula>
    </cfRule>
    <cfRule type="cellIs" dxfId="236" priority="180" operator="equal">
      <formula>"A"</formula>
    </cfRule>
  </conditionalFormatting>
  <conditionalFormatting sqref="AD293:AG305 AC347:AG347 AD335:AG346 AC348:AE348">
    <cfRule type="cellIs" dxfId="235" priority="277" operator="equal">
      <formula>"N"</formula>
    </cfRule>
    <cfRule type="cellIs" dxfId="234" priority="278" operator="equal">
      <formula>"A"</formula>
    </cfRule>
  </conditionalFormatting>
  <conditionalFormatting sqref="F347:K347 N347:AA347">
    <cfRule type="cellIs" dxfId="233" priority="275" operator="equal">
      <formula>"N"</formula>
    </cfRule>
    <cfRule type="cellIs" dxfId="232" priority="276" operator="equal">
      <formula>"A"</formula>
    </cfRule>
  </conditionalFormatting>
  <conditionalFormatting sqref="F348:AA348">
    <cfRule type="cellIs" dxfId="231" priority="259" operator="equal">
      <formula>"N"</formula>
    </cfRule>
    <cfRule type="cellIs" dxfId="230" priority="260" operator="equal">
      <formula>"A"</formula>
    </cfRule>
  </conditionalFormatting>
  <conditionalFormatting sqref="D347">
    <cfRule type="cellIs" dxfId="229" priority="271" operator="equal">
      <formula>"N"</formula>
    </cfRule>
    <cfRule type="cellIs" dxfId="228" priority="272" operator="equal">
      <formula>"A"</formula>
    </cfRule>
  </conditionalFormatting>
  <conditionalFormatting sqref="E347">
    <cfRule type="cellIs" dxfId="227" priority="269" operator="equal">
      <formula>"N"</formula>
    </cfRule>
    <cfRule type="cellIs" dxfId="226" priority="270" operator="equal">
      <formula>"A"</formula>
    </cfRule>
  </conditionalFormatting>
  <conditionalFormatting sqref="AB348">
    <cfRule type="cellIs" dxfId="225" priority="257" operator="equal">
      <formula>"N"</formula>
    </cfRule>
    <cfRule type="cellIs" dxfId="224" priority="258" operator="equal">
      <formula>"A"</formula>
    </cfRule>
  </conditionalFormatting>
  <conditionalFormatting sqref="AB347">
    <cfRule type="cellIs" dxfId="223" priority="273" operator="equal">
      <formula>"N"</formula>
    </cfRule>
    <cfRule type="cellIs" dxfId="222" priority="274" operator="equal">
      <formula>"A"</formula>
    </cfRule>
  </conditionalFormatting>
  <conditionalFormatting sqref="D348">
    <cfRule type="cellIs" dxfId="221" priority="255" operator="equal">
      <formula>"N"</formula>
    </cfRule>
    <cfRule type="cellIs" dxfId="220" priority="256" operator="equal">
      <formula>"A"</formula>
    </cfRule>
  </conditionalFormatting>
  <conditionalFormatting sqref="E348">
    <cfRule type="cellIs" dxfId="219" priority="253" operator="equal">
      <formula>"N"</formula>
    </cfRule>
    <cfRule type="cellIs" dxfId="218" priority="254" operator="equal">
      <formula>"A"</formula>
    </cfRule>
  </conditionalFormatting>
  <conditionalFormatting sqref="D419">
    <cfRule type="cellIs" dxfId="217" priority="211" operator="equal">
      <formula>"N"</formula>
    </cfRule>
    <cfRule type="cellIs" dxfId="216" priority="212" operator="equal">
      <formula>"A"</formula>
    </cfRule>
  </conditionalFormatting>
  <conditionalFormatting sqref="E419">
    <cfRule type="cellIs" dxfId="215" priority="209" operator="equal">
      <formula>"N"</formula>
    </cfRule>
    <cfRule type="cellIs" dxfId="214" priority="210" operator="equal">
      <formula>"A"</formula>
    </cfRule>
  </conditionalFormatting>
  <conditionalFormatting sqref="F419:AA419">
    <cfRule type="cellIs" dxfId="213" priority="215" operator="equal">
      <formula>"N"</formula>
    </cfRule>
    <cfRule type="cellIs" dxfId="212" priority="216" operator="equal">
      <formula>"A"</formula>
    </cfRule>
  </conditionalFormatting>
  <conditionalFormatting sqref="AB419">
    <cfRule type="cellIs" dxfId="211" priority="213" operator="equal">
      <formula>"N"</formula>
    </cfRule>
    <cfRule type="cellIs" dxfId="210" priority="214" operator="equal">
      <formula>"A"</formula>
    </cfRule>
  </conditionalFormatting>
  <conditionalFormatting sqref="D293:AC305">
    <cfRule type="cellIs" dxfId="209" priority="251" operator="equal">
      <formula>"N"</formula>
    </cfRule>
    <cfRule type="cellIs" dxfId="208" priority="252" operator="equal">
      <formula>"A"</formula>
    </cfRule>
  </conditionalFormatting>
  <conditionalFormatting sqref="D335:K346 N335:AC346">
    <cfRule type="cellIs" dxfId="207" priority="249" operator="equal">
      <formula>"N"</formula>
    </cfRule>
    <cfRule type="cellIs" dxfId="206" priority="250" operator="equal">
      <formula>"A"</formula>
    </cfRule>
  </conditionalFormatting>
  <conditionalFormatting sqref="D408:AC418 D407:U407 W407:AC407">
    <cfRule type="cellIs" dxfId="205" priority="195" operator="equal">
      <formula>"N"</formula>
    </cfRule>
    <cfRule type="cellIs" dxfId="204" priority="196" operator="equal">
      <formula>"A"</formula>
    </cfRule>
  </conditionalFormatting>
  <conditionalFormatting sqref="V407">
    <cfRule type="cellIs" dxfId="203" priority="193" operator="equal">
      <formula>"N"</formula>
    </cfRule>
    <cfRule type="cellIs" dxfId="202" priority="194" operator="equal">
      <formula>"A"</formula>
    </cfRule>
  </conditionalFormatting>
  <conditionalFormatting sqref="D420">
    <cfRule type="cellIs" dxfId="201" priority="175" operator="equal">
      <formula>"N"</formula>
    </cfRule>
    <cfRule type="cellIs" dxfId="200" priority="176" operator="equal">
      <formula>"A"</formula>
    </cfRule>
  </conditionalFormatting>
  <conditionalFormatting sqref="E420">
    <cfRule type="cellIs" dxfId="199" priority="173" operator="equal">
      <formula>"N"</formula>
    </cfRule>
    <cfRule type="cellIs" dxfId="198" priority="174" operator="equal">
      <formula>"A"</formula>
    </cfRule>
  </conditionalFormatting>
  <conditionalFormatting sqref="F436:AA436">
    <cfRule type="cellIs" dxfId="197" priority="141" operator="equal">
      <formula>"N"</formula>
    </cfRule>
    <cfRule type="cellIs" dxfId="196" priority="142" operator="equal">
      <formula>"A"</formula>
    </cfRule>
  </conditionalFormatting>
  <conditionalFormatting sqref="AB420">
    <cfRule type="cellIs" dxfId="195" priority="177" operator="equal">
      <formula>"N"</formula>
    </cfRule>
    <cfRule type="cellIs" dxfId="194" priority="178" operator="equal">
      <formula>"A"</formula>
    </cfRule>
  </conditionalFormatting>
  <conditionalFormatting sqref="L335:L346">
    <cfRule type="cellIs" dxfId="193" priority="227" operator="equal">
      <formula>"N"</formula>
    </cfRule>
    <cfRule type="cellIs" dxfId="192" priority="228" operator="equal">
      <formula>"A"</formula>
    </cfRule>
  </conditionalFormatting>
  <conditionalFormatting sqref="AB436">
    <cfRule type="cellIs" dxfId="191" priority="139" operator="equal">
      <formula>"N"</formula>
    </cfRule>
    <cfRule type="cellIs" dxfId="190" priority="140" operator="equal">
      <formula>"A"</formula>
    </cfRule>
  </conditionalFormatting>
  <conditionalFormatting sqref="D436">
    <cfRule type="cellIs" dxfId="189" priority="137" operator="equal">
      <formula>"N"</formula>
    </cfRule>
    <cfRule type="cellIs" dxfId="188" priority="138" operator="equal">
      <formula>"A"</formula>
    </cfRule>
  </conditionalFormatting>
  <conditionalFormatting sqref="E436">
    <cfRule type="cellIs" dxfId="187" priority="135" operator="equal">
      <formula>"N"</formula>
    </cfRule>
    <cfRule type="cellIs" dxfId="186" priority="136" operator="equal">
      <formula>"A"</formula>
    </cfRule>
  </conditionalFormatting>
  <conditionalFormatting sqref="AF420">
    <cfRule type="cellIs" dxfId="185" priority="171" operator="equal">
      <formula>"N"</formula>
    </cfRule>
    <cfRule type="cellIs" dxfId="184" priority="172" operator="equal">
      <formula>"A"</formula>
    </cfRule>
  </conditionalFormatting>
  <conditionalFormatting sqref="AD351:AG363 AC405:AG405 AD393:AG404 AC419:AG419 AD407:AG418">
    <cfRule type="cellIs" dxfId="183" priority="225" operator="equal">
      <formula>"N"</formula>
    </cfRule>
    <cfRule type="cellIs" dxfId="182" priority="226" operator="equal">
      <formula>"A"</formula>
    </cfRule>
  </conditionalFormatting>
  <conditionalFormatting sqref="F405:AA405">
    <cfRule type="cellIs" dxfId="181" priority="223" operator="equal">
      <formula>"N"</formula>
    </cfRule>
    <cfRule type="cellIs" dxfId="180" priority="224" operator="equal">
      <formula>"A"</formula>
    </cfRule>
  </conditionalFormatting>
  <conditionalFormatting sqref="D405">
    <cfRule type="cellIs" dxfId="179" priority="219" operator="equal">
      <formula>"N"</formula>
    </cfRule>
    <cfRule type="cellIs" dxfId="178" priority="220" operator="equal">
      <formula>"A"</formula>
    </cfRule>
  </conditionalFormatting>
  <conditionalFormatting sqref="E405">
    <cfRule type="cellIs" dxfId="177" priority="217" operator="equal">
      <formula>"N"</formula>
    </cfRule>
    <cfRule type="cellIs" dxfId="176" priority="218" operator="equal">
      <formula>"A"</formula>
    </cfRule>
  </conditionalFormatting>
  <conditionalFormatting sqref="AB405">
    <cfRule type="cellIs" dxfId="175" priority="221" operator="equal">
      <formula>"N"</formula>
    </cfRule>
    <cfRule type="cellIs" dxfId="174" priority="222" operator="equal">
      <formula>"A"</formula>
    </cfRule>
  </conditionalFormatting>
  <conditionalFormatting sqref="D351:AC363">
    <cfRule type="cellIs" dxfId="173" priority="199" operator="equal">
      <formula>"N"</formula>
    </cfRule>
    <cfRule type="cellIs" dxfId="172" priority="200" operator="equal">
      <formula>"A"</formula>
    </cfRule>
  </conditionalFormatting>
  <conditionalFormatting sqref="D393:AC404">
    <cfRule type="cellIs" dxfId="171" priority="197" operator="equal">
      <formula>"N"</formula>
    </cfRule>
    <cfRule type="cellIs" dxfId="170" priority="198" operator="equal">
      <formula>"A"</formula>
    </cfRule>
  </conditionalFormatting>
  <conditionalFormatting sqref="D423:AC435">
    <cfRule type="cellIs" dxfId="169" priority="151" operator="equal">
      <formula>"N"</formula>
    </cfRule>
    <cfRule type="cellIs" dxfId="168" priority="152" operator="equal">
      <formula>"A"</formula>
    </cfRule>
  </conditionalFormatting>
  <conditionalFormatting sqref="AC420:AE420">
    <cfRule type="cellIs" dxfId="167" priority="181" operator="equal">
      <formula>"N"</formula>
    </cfRule>
    <cfRule type="cellIs" dxfId="166" priority="182" operator="equal">
      <formula>"A"</formula>
    </cfRule>
  </conditionalFormatting>
  <conditionalFormatting sqref="AF436">
    <cfRule type="cellIs" dxfId="165" priority="133" operator="equal">
      <formula>"N"</formula>
    </cfRule>
    <cfRule type="cellIs" dxfId="164" priority="134" operator="equal">
      <formula>"A"</formula>
    </cfRule>
  </conditionalFormatting>
  <conditionalFormatting sqref="AC436:AE436">
    <cfRule type="cellIs" dxfId="163" priority="143" operator="equal">
      <formula>"N"</formula>
    </cfRule>
    <cfRule type="cellIs" dxfId="162" priority="144" operator="equal">
      <formula>"A"</formula>
    </cfRule>
  </conditionalFormatting>
  <conditionalFormatting sqref="AD423:AG435">
    <cfRule type="cellIs" dxfId="161" priority="169" operator="equal">
      <formula>"N"</formula>
    </cfRule>
    <cfRule type="cellIs" dxfId="160" priority="170" operator="equal">
      <formula>"A"</formula>
    </cfRule>
  </conditionalFormatting>
  <conditionalFormatting sqref="D50:AC60 D49:U49 W49:AC49">
    <cfRule type="cellIs" dxfId="159" priority="101" operator="equal">
      <formula>"N"</formula>
    </cfRule>
    <cfRule type="cellIs" dxfId="158" priority="102" operator="equal">
      <formula>"A"</formula>
    </cfRule>
  </conditionalFormatting>
  <conditionalFormatting sqref="V49">
    <cfRule type="cellIs" dxfId="157" priority="99" operator="equal">
      <formula>"N"</formula>
    </cfRule>
    <cfRule type="cellIs" dxfId="156" priority="100" operator="equal">
      <formula>"A"</formula>
    </cfRule>
  </conditionalFormatting>
  <conditionalFormatting sqref="AC61:AG61 AD49:AG60">
    <cfRule type="cellIs" dxfId="155" priority="111" operator="equal">
      <formula>"N"</formula>
    </cfRule>
    <cfRule type="cellIs" dxfId="154" priority="112" operator="equal">
      <formula>"A"</formula>
    </cfRule>
  </conditionalFormatting>
  <conditionalFormatting sqref="E61">
    <cfRule type="cellIs" dxfId="153" priority="103" operator="equal">
      <formula>"N"</formula>
    </cfRule>
    <cfRule type="cellIs" dxfId="152" priority="104" operator="equal">
      <formula>"A"</formula>
    </cfRule>
  </conditionalFormatting>
  <conditionalFormatting sqref="D61">
    <cfRule type="cellIs" dxfId="151" priority="105" operator="equal">
      <formula>"N"</formula>
    </cfRule>
    <cfRule type="cellIs" dxfId="150" priority="106" operator="equal">
      <formula>"A"</formula>
    </cfRule>
  </conditionalFormatting>
  <conditionalFormatting sqref="F61:AA61">
    <cfRule type="cellIs" dxfId="149" priority="109" operator="equal">
      <formula>"N"</formula>
    </cfRule>
    <cfRule type="cellIs" dxfId="148" priority="110" operator="equal">
      <formula>"A"</formula>
    </cfRule>
  </conditionalFormatting>
  <conditionalFormatting sqref="AB61">
    <cfRule type="cellIs" dxfId="147" priority="107" operator="equal">
      <formula>"N"</formula>
    </cfRule>
    <cfRule type="cellIs" dxfId="146" priority="108" operator="equal">
      <formula>"A"</formula>
    </cfRule>
  </conditionalFormatting>
  <conditionalFormatting sqref="F75:AA75">
    <cfRule type="cellIs" dxfId="145" priority="85" operator="equal">
      <formula>"N"</formula>
    </cfRule>
    <cfRule type="cellIs" dxfId="144" priority="86" operator="equal">
      <formula>"A"</formula>
    </cfRule>
  </conditionalFormatting>
  <conditionalFormatting sqref="E75">
    <cfRule type="cellIs" dxfId="143" priority="79" operator="equal">
      <formula>"N"</formula>
    </cfRule>
    <cfRule type="cellIs" dxfId="142" priority="80" operator="equal">
      <formula>"A"</formula>
    </cfRule>
  </conditionalFormatting>
  <conditionalFormatting sqref="D63:AC74">
    <cfRule type="cellIs" dxfId="141" priority="77" operator="equal">
      <formula>"N"</formula>
    </cfRule>
    <cfRule type="cellIs" dxfId="140" priority="78" operator="equal">
      <formula>"A"</formula>
    </cfRule>
  </conditionalFormatting>
  <conditionalFormatting sqref="AB75">
    <cfRule type="cellIs" dxfId="139" priority="83" operator="equal">
      <formula>"N"</formula>
    </cfRule>
    <cfRule type="cellIs" dxfId="138" priority="84" operator="equal">
      <formula>"A"</formula>
    </cfRule>
  </conditionalFormatting>
  <conditionalFormatting sqref="D75">
    <cfRule type="cellIs" dxfId="137" priority="81" operator="equal">
      <formula>"N"</formula>
    </cfRule>
    <cfRule type="cellIs" dxfId="136" priority="82" operator="equal">
      <formula>"A"</formula>
    </cfRule>
  </conditionalFormatting>
  <conditionalFormatting sqref="AC75:AG75 AD63:AG74">
    <cfRule type="cellIs" dxfId="135" priority="87" operator="equal">
      <formula>"N"</formula>
    </cfRule>
    <cfRule type="cellIs" dxfId="134" priority="88" operator="equal">
      <formula>"A"</formula>
    </cfRule>
  </conditionalFormatting>
  <conditionalFormatting sqref="E147">
    <cfRule type="cellIs" dxfId="133" priority="67" operator="equal">
      <formula>"N"</formula>
    </cfRule>
    <cfRule type="cellIs" dxfId="132" priority="68" operator="equal">
      <formula>"A"</formula>
    </cfRule>
  </conditionalFormatting>
  <conditionalFormatting sqref="D136:AC146 D135:U135 W135:AC135">
    <cfRule type="cellIs" dxfId="131" priority="65" operator="equal">
      <formula>"N"</formula>
    </cfRule>
    <cfRule type="cellIs" dxfId="130" priority="66" operator="equal">
      <formula>"A"</formula>
    </cfRule>
  </conditionalFormatting>
  <conditionalFormatting sqref="AB147">
    <cfRule type="cellIs" dxfId="129" priority="71" operator="equal">
      <formula>"N"</formula>
    </cfRule>
    <cfRule type="cellIs" dxfId="128" priority="72" operator="equal">
      <formula>"A"</formula>
    </cfRule>
  </conditionalFormatting>
  <conditionalFormatting sqref="D147">
    <cfRule type="cellIs" dxfId="127" priority="69" operator="equal">
      <formula>"N"</formula>
    </cfRule>
    <cfRule type="cellIs" dxfId="126" priority="70" operator="equal">
      <formula>"A"</formula>
    </cfRule>
  </conditionalFormatting>
  <conditionalFormatting sqref="V135">
    <cfRule type="cellIs" dxfId="125" priority="63" operator="equal">
      <formula>"N"</formula>
    </cfRule>
    <cfRule type="cellIs" dxfId="124" priority="64" operator="equal">
      <formula>"A"</formula>
    </cfRule>
  </conditionalFormatting>
  <conditionalFormatting sqref="AC147:AG147 AD135:AG146">
    <cfRule type="cellIs" dxfId="123" priority="75" operator="equal">
      <formula>"N"</formula>
    </cfRule>
    <cfRule type="cellIs" dxfId="122" priority="76" operator="equal">
      <formula>"A"</formula>
    </cfRule>
  </conditionalFormatting>
  <conditionalFormatting sqref="F147:AA147">
    <cfRule type="cellIs" dxfId="121" priority="73" operator="equal">
      <formula>"N"</formula>
    </cfRule>
    <cfRule type="cellIs" dxfId="120" priority="74" operator="equal">
      <formula>"A"</formula>
    </cfRule>
  </conditionalFormatting>
  <conditionalFormatting sqref="AB161">
    <cfRule type="cellIs" dxfId="119" priority="57" operator="equal">
      <formula>"N"</formula>
    </cfRule>
    <cfRule type="cellIs" dxfId="118" priority="58" operator="equal">
      <formula>"A"</formula>
    </cfRule>
  </conditionalFormatting>
  <conditionalFormatting sqref="D161">
    <cfRule type="cellIs" dxfId="117" priority="55" operator="equal">
      <formula>"N"</formula>
    </cfRule>
    <cfRule type="cellIs" dxfId="116" priority="56" operator="equal">
      <formula>"A"</formula>
    </cfRule>
  </conditionalFormatting>
  <conditionalFormatting sqref="E161">
    <cfRule type="cellIs" dxfId="115" priority="53" operator="equal">
      <formula>"N"</formula>
    </cfRule>
    <cfRule type="cellIs" dxfId="114" priority="54" operator="equal">
      <formula>"A"</formula>
    </cfRule>
  </conditionalFormatting>
  <conditionalFormatting sqref="D150:AC160 D149:U149 W149:AC149">
    <cfRule type="cellIs" dxfId="113" priority="51" operator="equal">
      <formula>"N"</formula>
    </cfRule>
    <cfRule type="cellIs" dxfId="112" priority="52" operator="equal">
      <formula>"A"</formula>
    </cfRule>
  </conditionalFormatting>
  <conditionalFormatting sqref="V149">
    <cfRule type="cellIs" dxfId="111" priority="49" operator="equal">
      <formula>"N"</formula>
    </cfRule>
    <cfRule type="cellIs" dxfId="110" priority="50" operator="equal">
      <formula>"A"</formula>
    </cfRule>
  </conditionalFormatting>
  <conditionalFormatting sqref="E247">
    <cfRule type="cellIs" dxfId="109" priority="39" operator="equal">
      <formula>"N"</formula>
    </cfRule>
    <cfRule type="cellIs" dxfId="108" priority="40" operator="equal">
      <formula>"A"</formula>
    </cfRule>
  </conditionalFormatting>
  <conditionalFormatting sqref="D236:AC246 D235:U235 W235:AC235">
    <cfRule type="cellIs" dxfId="107" priority="37" operator="equal">
      <formula>"N"</formula>
    </cfRule>
    <cfRule type="cellIs" dxfId="106" priority="38" operator="equal">
      <formula>"A"</formula>
    </cfRule>
  </conditionalFormatting>
  <conditionalFormatting sqref="AB247">
    <cfRule type="cellIs" dxfId="105" priority="43" operator="equal">
      <formula>"N"</formula>
    </cfRule>
    <cfRule type="cellIs" dxfId="104" priority="44" operator="equal">
      <formula>"A"</formula>
    </cfRule>
  </conditionalFormatting>
  <conditionalFormatting sqref="D247">
    <cfRule type="cellIs" dxfId="103" priority="41" operator="equal">
      <formula>"N"</formula>
    </cfRule>
    <cfRule type="cellIs" dxfId="102" priority="42" operator="equal">
      <formula>"A"</formula>
    </cfRule>
  </conditionalFormatting>
  <conditionalFormatting sqref="V235">
    <cfRule type="cellIs" dxfId="101" priority="35" operator="equal">
      <formula>"N"</formula>
    </cfRule>
    <cfRule type="cellIs" dxfId="100" priority="36" operator="equal">
      <formula>"A"</formula>
    </cfRule>
  </conditionalFormatting>
  <conditionalFormatting sqref="AC161:AG161 AD149:AG160">
    <cfRule type="cellIs" dxfId="99" priority="61" operator="equal">
      <formula>"N"</formula>
    </cfRule>
    <cfRule type="cellIs" dxfId="98" priority="62" operator="equal">
      <formula>"A"</formula>
    </cfRule>
  </conditionalFormatting>
  <conditionalFormatting sqref="F161:AA161">
    <cfRule type="cellIs" dxfId="97" priority="59" operator="equal">
      <formula>"N"</formula>
    </cfRule>
    <cfRule type="cellIs" dxfId="96" priority="60" operator="equal">
      <formula>"A"</formula>
    </cfRule>
  </conditionalFormatting>
  <conditionalFormatting sqref="AC247:AG247 AD235:AG246">
    <cfRule type="cellIs" dxfId="95" priority="47" operator="equal">
      <formula>"N"</formula>
    </cfRule>
    <cfRule type="cellIs" dxfId="94" priority="48" operator="equal">
      <formula>"A"</formula>
    </cfRule>
  </conditionalFormatting>
  <conditionalFormatting sqref="F247:AA247">
    <cfRule type="cellIs" dxfId="93" priority="45" operator="equal">
      <formula>"N"</formula>
    </cfRule>
    <cfRule type="cellIs" dxfId="92" priority="46" operator="equal">
      <formula>"A"</formula>
    </cfRule>
  </conditionalFormatting>
  <conditionalFormatting sqref="AB261">
    <cfRule type="cellIs" dxfId="91" priority="29" operator="equal">
      <formula>"N"</formula>
    </cfRule>
    <cfRule type="cellIs" dxfId="90" priority="30" operator="equal">
      <formula>"A"</formula>
    </cfRule>
  </conditionalFormatting>
  <conditionalFormatting sqref="D261">
    <cfRule type="cellIs" dxfId="89" priority="27" operator="equal">
      <formula>"N"</formula>
    </cfRule>
    <cfRule type="cellIs" dxfId="88" priority="28" operator="equal">
      <formula>"A"</formula>
    </cfRule>
  </conditionalFormatting>
  <conditionalFormatting sqref="E261">
    <cfRule type="cellIs" dxfId="87" priority="25" operator="equal">
      <formula>"N"</formula>
    </cfRule>
    <cfRule type="cellIs" dxfId="86" priority="26" operator="equal">
      <formula>"A"</formula>
    </cfRule>
  </conditionalFormatting>
  <conditionalFormatting sqref="D250:AC260 D249:U249 W249:AC249">
    <cfRule type="cellIs" dxfId="85" priority="23" operator="equal">
      <formula>"N"</formula>
    </cfRule>
    <cfRule type="cellIs" dxfId="84" priority="24" operator="equal">
      <formula>"A"</formula>
    </cfRule>
  </conditionalFormatting>
  <conditionalFormatting sqref="V249">
    <cfRule type="cellIs" dxfId="83" priority="21" operator="equal">
      <formula>"N"</formula>
    </cfRule>
    <cfRule type="cellIs" dxfId="82" priority="22" operator="equal">
      <formula>"A"</formula>
    </cfRule>
  </conditionalFormatting>
  <conditionalFormatting sqref="D307:AC319">
    <cfRule type="cellIs" dxfId="81" priority="17" operator="equal">
      <formula>"N"</formula>
    </cfRule>
    <cfRule type="cellIs" dxfId="80" priority="18" operator="equal">
      <formula>"A"</formula>
    </cfRule>
  </conditionalFormatting>
  <conditionalFormatting sqref="AD307:AG319">
    <cfRule type="cellIs" dxfId="79" priority="19" operator="equal">
      <formula>"N"</formula>
    </cfRule>
    <cfRule type="cellIs" dxfId="78" priority="20" operator="equal">
      <formula>"A"</formula>
    </cfRule>
  </conditionalFormatting>
  <conditionalFormatting sqref="AD321:AG333">
    <cfRule type="cellIs" dxfId="77" priority="11" operator="equal">
      <formula>"N"</formula>
    </cfRule>
    <cfRule type="cellIs" dxfId="76" priority="12" operator="equal">
      <formula>"A"</formula>
    </cfRule>
  </conditionalFormatting>
  <conditionalFormatting sqref="D321:AC333">
    <cfRule type="cellIs" dxfId="75" priority="9" operator="equal">
      <formula>"N"</formula>
    </cfRule>
    <cfRule type="cellIs" dxfId="74" priority="10" operator="equal">
      <formula>"A"</formula>
    </cfRule>
  </conditionalFormatting>
  <conditionalFormatting sqref="AC261:AG261 AD249:AG260">
    <cfRule type="cellIs" dxfId="73" priority="33" operator="equal">
      <formula>"N"</formula>
    </cfRule>
    <cfRule type="cellIs" dxfId="72" priority="34" operator="equal">
      <formula>"A"</formula>
    </cfRule>
  </conditionalFormatting>
  <conditionalFormatting sqref="F261:AA261">
    <cfRule type="cellIs" dxfId="71" priority="31" operator="equal">
      <formula>"N"</formula>
    </cfRule>
    <cfRule type="cellIs" dxfId="70" priority="32" operator="equal">
      <formula>"A"</formula>
    </cfRule>
  </conditionalFormatting>
  <conditionalFormatting sqref="D365:AC377">
    <cfRule type="cellIs" dxfId="69" priority="5" operator="equal">
      <formula>"N"</formula>
    </cfRule>
    <cfRule type="cellIs" dxfId="68" priority="6" operator="equal">
      <formula>"A"</formula>
    </cfRule>
  </conditionalFormatting>
  <conditionalFormatting sqref="AD365:AG377">
    <cfRule type="cellIs" dxfId="67" priority="7" operator="equal">
      <formula>"N"</formula>
    </cfRule>
    <cfRule type="cellIs" dxfId="66" priority="8" operator="equal">
      <formula>"A"</formula>
    </cfRule>
  </conditionalFormatting>
  <conditionalFormatting sqref="D379:AC391">
    <cfRule type="cellIs" dxfId="65" priority="1" operator="equal">
      <formula>"N"</formula>
    </cfRule>
    <cfRule type="cellIs" dxfId="64" priority="2" operator="equal">
      <formula>"A"</formula>
    </cfRule>
  </conditionalFormatting>
  <conditionalFormatting sqref="AD379:AG391">
    <cfRule type="cellIs" dxfId="63" priority="3" operator="equal">
      <formula>"N"</formula>
    </cfRule>
    <cfRule type="cellIs" dxfId="62" priority="4" operator="equal">
      <formula>"A"</formula>
    </cfRule>
  </conditionalFormatting>
  <pageMargins left="0.7" right="0.7" top="0.75" bottom="0.75" header="0.3" footer="0.3"/>
  <pageSetup paperSize="9" scale="67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58"/>
  <sheetViews>
    <sheetView showGridLines="0" zoomScale="60" zoomScaleNormal="60" zoomScaleSheetLayoutView="100" workbookViewId="0">
      <pane xSplit="3" ySplit="4" topLeftCell="O32" activePane="bottomRight" state="frozen"/>
      <selection pane="topRight" activeCell="C1" sqref="C1"/>
      <selection pane="bottomLeft" activeCell="A5" sqref="A5"/>
      <selection pane="bottomRight" activeCell="AD52" sqref="AD52"/>
    </sheetView>
  </sheetViews>
  <sheetFormatPr defaultColWidth="8.88671875" defaultRowHeight="14.4" x14ac:dyDescent="0.3"/>
  <cols>
    <col min="2" max="2" width="21.44140625" customWidth="1"/>
    <col min="3" max="3" width="37" customWidth="1"/>
    <col min="4" max="30" width="14.33203125" style="227" customWidth="1"/>
    <col min="31" max="31" width="12.6640625" style="227" customWidth="1"/>
    <col min="32" max="32" width="13.44140625" style="227" customWidth="1"/>
    <col min="33" max="33" width="13.33203125" style="227" customWidth="1"/>
    <col min="34" max="34" width="10.6640625" style="227" customWidth="1"/>
    <col min="35" max="51" width="8.44140625" style="227" customWidth="1"/>
  </cols>
  <sheetData>
    <row r="1" spans="1:52" ht="15" thickBot="1" x14ac:dyDescent="0.35"/>
    <row r="2" spans="1:52" s="61" customFormat="1" ht="87" thickBot="1" x14ac:dyDescent="0.35">
      <c r="A2" s="717"/>
      <c r="B2" s="230" t="s">
        <v>211</v>
      </c>
      <c r="C2" s="713" t="str">
        <f>'Procesy - AS IS'!C2</f>
        <v>Inšpekčná činnosť</v>
      </c>
      <c r="D2" s="714" t="str">
        <f>'Procesy - ∆'!D2</f>
        <v>Prijatie oznámenia MZV</v>
      </c>
      <c r="E2" s="714" t="str">
        <f>'Procesy - ∆'!E2</f>
        <v>Príprava na kontrolu pred vydaním poverenia</v>
      </c>
      <c r="F2" s="714" t="str">
        <f>'Procesy - ∆'!F2</f>
        <v>Vystavenie poverenia</v>
      </c>
      <c r="G2" s="714" t="str">
        <f>'Procesy - ∆'!G2</f>
        <v>Oboznámenie sa s predchádzajúcimi zisteniami</v>
      </c>
      <c r="H2" s="714" t="str">
        <f>'Procesy - ∆'!H2</f>
        <v>Oboznámenie sa s výškou predchádzajúcich sankcií</v>
      </c>
      <c r="I2" s="714" t="str">
        <f>'Procesy - ∆'!I2</f>
        <v>Oboznámenie sa s uhrádzaním sankcií</v>
      </c>
      <c r="J2" s="714" t="str">
        <f>'Procesy - ∆'!J2</f>
        <v>Oboznámenie sa s plnením nápravných opatrení</v>
      </c>
      <c r="K2" s="714" t="str">
        <f>'Procesy - ∆'!K2</f>
        <v>Zber externých údajov pri príprave kontroly</v>
      </c>
      <c r="L2" s="714" t="str">
        <f>'Procesy - ∆'!L2</f>
        <v>Vypracovanie oznámenia o začatí kontroly</v>
      </c>
      <c r="M2" s="714" t="str">
        <f>'Procesy - ∆'!M2</f>
        <v>Vypracovanie zoznamu požadovanej dokumentácie</v>
      </c>
      <c r="N2" s="714" t="str">
        <f>'Procesy - ∆'!N2</f>
        <v>Vypracovanie zoznamu kontrolných otázok</v>
      </c>
      <c r="O2" s="714" t="str">
        <f>'Procesy - ∆'!O2</f>
        <v>Administratívna príprava kontroly</v>
      </c>
      <c r="P2" s="714" t="str">
        <f>'Procesy - ∆'!P2</f>
        <v>Uloženie dôkazov z ohliadky do spisu</v>
      </c>
      <c r="Q2" s="714" t="str">
        <f>'Procesy - ∆'!Q2</f>
        <v>Vypracovanie zápisu z ohliadky / čiastkového / priebežného protokolu</v>
      </c>
      <c r="R2" s="714" t="str">
        <f>'Procesy - ∆'!R2</f>
        <v>Vypracovanie výstupu z kontroly (protokol, správa)</v>
      </c>
      <c r="S2" s="714" t="str">
        <f>'Procesy - ∆'!S2</f>
        <v>Vypracovanie výstupu z kontroly (záznam, správa)</v>
      </c>
      <c r="T2" s="714" t="str">
        <f>'Procesy - ∆'!T2</f>
        <v>Vypracovanie stanoviska k pripomienkam kontrolovaného subjektu</v>
      </c>
      <c r="U2" s="714" t="str">
        <f>'Procesy - ∆'!U2</f>
        <v>Vypracovanie zápisnice z prerokovania výstupu z kontroly</v>
      </c>
      <c r="V2" s="714" t="str">
        <f>'Procesy - ∆'!V2</f>
        <v>Ukončenie spisu</v>
      </c>
      <c r="W2" s="714" t="str">
        <f>'Procesy - ∆'!W2</f>
        <v>Vypracovanie a zaslanie oznámenia o začatí správneho konania</v>
      </c>
      <c r="X2" s="714" t="str">
        <f>'Procesy - ∆'!X2</f>
        <v>Vypracovanie zápisnice z ústneho pojednávania</v>
      </c>
      <c r="Y2" s="714" t="str">
        <f>'Procesy - ∆'!Y2</f>
        <v>Vypracovanie rozhodnutia o sankcii</v>
      </c>
      <c r="Z2" s="714" t="str">
        <f>'Procesy - ∆'!Z2</f>
        <v>Vypracovanie upovedomenia o postúpení odvolania</v>
      </c>
      <c r="AA2" s="714" t="str">
        <f>'Procesy - ∆'!AA2</f>
        <v>Žurnalizácia spisu</v>
      </c>
      <c r="AB2" s="714" t="str">
        <f>'Procesy - ∆'!AB2</f>
        <v>Vypracovanie predkladacej správy k odvolaniu</v>
      </c>
      <c r="AC2" s="714" t="str">
        <f>'Procesy - ∆'!AC2</f>
        <v>Vypracovanie rozhodnutia o odvolaní</v>
      </c>
      <c r="AD2" s="770" t="str">
        <f>'Procesy - ∆'!AD2</f>
        <v>Trvanie spolu</v>
      </c>
      <c r="AE2" s="770" t="str">
        <f>'Procesy - ∆'!AF2</f>
        <v>Počet kontrol</v>
      </c>
      <c r="AF2" s="715" t="str">
        <f>'Procesy - ∆'!AG2</f>
        <v>Počet kontrol so zistením</v>
      </c>
      <c r="AG2" s="715" t="str">
        <f>'Procesy - ∆'!AH2</f>
        <v>Počet kontrol s pokutou</v>
      </c>
      <c r="AH2" s="771" t="str">
        <f>'Procesy - ∆'!AI2</f>
        <v>Počet kontrol s odvolaním</v>
      </c>
      <c r="AI2" s="748"/>
      <c r="AJ2" s="748"/>
      <c r="AK2" s="748"/>
      <c r="AL2" s="749"/>
      <c r="AM2" s="716"/>
      <c r="AN2" s="716"/>
      <c r="AO2" s="750"/>
      <c r="AP2" s="750"/>
      <c r="AQ2" s="750"/>
      <c r="AR2" s="750"/>
      <c r="AS2" s="750"/>
      <c r="AT2" s="750"/>
      <c r="AU2" s="750"/>
      <c r="AV2" s="716"/>
      <c r="AW2" s="716"/>
      <c r="AX2" s="750"/>
      <c r="AY2" s="750"/>
      <c r="AZ2" s="750"/>
    </row>
    <row r="3" spans="1:52" x14ac:dyDescent="0.3">
      <c r="A3" s="148"/>
      <c r="B3" s="723"/>
      <c r="C3" s="724"/>
      <c r="D3" s="730" t="s">
        <v>525</v>
      </c>
      <c r="E3" s="729" t="s">
        <v>525</v>
      </c>
      <c r="F3" s="729" t="s">
        <v>525</v>
      </c>
      <c r="G3" s="733" t="s">
        <v>525</v>
      </c>
      <c r="H3" s="733" t="s">
        <v>525</v>
      </c>
      <c r="I3" s="733" t="s">
        <v>525</v>
      </c>
      <c r="J3" s="733" t="s">
        <v>525</v>
      </c>
      <c r="K3" s="733" t="s">
        <v>525</v>
      </c>
      <c r="L3" s="733" t="s">
        <v>525</v>
      </c>
      <c r="M3" s="733" t="s">
        <v>525</v>
      </c>
      <c r="N3" s="733" t="s">
        <v>525</v>
      </c>
      <c r="O3" s="733" t="s">
        <v>525</v>
      </c>
      <c r="P3" s="733" t="s">
        <v>525</v>
      </c>
      <c r="Q3" s="733" t="s">
        <v>525</v>
      </c>
      <c r="R3" s="733" t="s">
        <v>525</v>
      </c>
      <c r="S3" s="733" t="s">
        <v>525</v>
      </c>
      <c r="T3" s="733" t="s">
        <v>525</v>
      </c>
      <c r="U3" s="733" t="s">
        <v>525</v>
      </c>
      <c r="V3" s="733" t="s">
        <v>525</v>
      </c>
      <c r="W3" s="733" t="s">
        <v>525</v>
      </c>
      <c r="X3" s="733" t="s">
        <v>525</v>
      </c>
      <c r="Y3" s="733" t="s">
        <v>525</v>
      </c>
      <c r="Z3" s="733" t="s">
        <v>525</v>
      </c>
      <c r="AA3" s="733" t="s">
        <v>525</v>
      </c>
      <c r="AB3" s="733" t="s">
        <v>525</v>
      </c>
      <c r="AC3" s="729" t="s">
        <v>525</v>
      </c>
      <c r="AD3" s="880" t="s">
        <v>525</v>
      </c>
      <c r="AE3" s="884"/>
      <c r="AF3" s="892"/>
      <c r="AG3" s="892"/>
      <c r="AH3" s="756"/>
      <c r="AJ3" s="232"/>
      <c r="AK3"/>
      <c r="AY3"/>
    </row>
    <row r="4" spans="1:52" x14ac:dyDescent="0.3">
      <c r="A4" s="148"/>
      <c r="B4" s="734" t="s">
        <v>158</v>
      </c>
      <c r="C4" s="751" t="s">
        <v>533</v>
      </c>
      <c r="D4" s="768">
        <f t="shared" ref="D4:AD4" si="0">D5*$AE5/$AE4+D13*$AE13/$AE4+D22*$AE22/$AE4+D31*$AE31/$AE4+D37*$AE37/$AE4+D44*$AE44/$AE4</f>
        <v>0</v>
      </c>
      <c r="E4" s="768">
        <f t="shared" si="0"/>
        <v>0.52301202903309896</v>
      </c>
      <c r="F4" s="768">
        <f t="shared" si="0"/>
        <v>0.31882231547348949</v>
      </c>
      <c r="G4" s="768">
        <f t="shared" si="0"/>
        <v>7.2781594866418455</v>
      </c>
      <c r="H4" s="768">
        <f t="shared" si="0"/>
        <v>0</v>
      </c>
      <c r="I4" s="768">
        <f t="shared" si="0"/>
        <v>0</v>
      </c>
      <c r="J4" s="768">
        <f t="shared" si="0"/>
        <v>0</v>
      </c>
      <c r="K4" s="768">
        <f t="shared" si="0"/>
        <v>0</v>
      </c>
      <c r="L4" s="768">
        <f t="shared" si="0"/>
        <v>0.24259281726218057</v>
      </c>
      <c r="M4" s="768">
        <f t="shared" si="0"/>
        <v>0.77667572830382858</v>
      </c>
      <c r="N4" s="768">
        <f t="shared" si="0"/>
        <v>0</v>
      </c>
      <c r="O4" s="768">
        <f t="shared" si="0"/>
        <v>0</v>
      </c>
      <c r="P4" s="768">
        <f t="shared" si="0"/>
        <v>3.3236684106731809</v>
      </c>
      <c r="Q4" s="768">
        <f t="shared" si="0"/>
        <v>0</v>
      </c>
      <c r="R4" s="768">
        <f t="shared" si="0"/>
        <v>6.7135828742209878</v>
      </c>
      <c r="S4" s="768">
        <f t="shared" si="0"/>
        <v>8.6395576899981386</v>
      </c>
      <c r="T4" s="768">
        <f t="shared" si="0"/>
        <v>2.7282954408658378</v>
      </c>
      <c r="U4" s="768">
        <f t="shared" si="0"/>
        <v>2.4167961810825367</v>
      </c>
      <c r="V4" s="768">
        <f t="shared" si="0"/>
        <v>1.1571600575431504</v>
      </c>
      <c r="W4" s="768">
        <f t="shared" si="0"/>
        <v>0.34650851532262561</v>
      </c>
      <c r="X4" s="768">
        <f t="shared" si="0"/>
        <v>0</v>
      </c>
      <c r="Y4" s="768">
        <f t="shared" si="0"/>
        <v>2.9408201416649016</v>
      </c>
      <c r="Z4" s="768">
        <f t="shared" si="0"/>
        <v>3.1355755209873007E-2</v>
      </c>
      <c r="AA4" s="768">
        <f t="shared" si="0"/>
        <v>3.1189218831493913E-2</v>
      </c>
      <c r="AB4" s="768">
        <f t="shared" si="0"/>
        <v>0.26069583663079443</v>
      </c>
      <c r="AC4" s="768">
        <f t="shared" si="0"/>
        <v>5.0425756444762042</v>
      </c>
      <c r="AD4" s="819">
        <f t="shared" si="0"/>
        <v>239.11279865250691</v>
      </c>
      <c r="AE4" s="885">
        <f>AE5+AE13+AE22+AE31+AE37+AE44</f>
        <v>4025.3494732766439</v>
      </c>
      <c r="AF4" s="834">
        <f t="shared" ref="AF4:AH4" si="1">AF5+AF13+AF22+AF31+AF37+AF44</f>
        <v>1376.6914973121859</v>
      </c>
      <c r="AG4" s="834">
        <f t="shared" si="1"/>
        <v>971.49849710361445</v>
      </c>
      <c r="AH4" s="769">
        <f t="shared" si="1"/>
        <v>107.1625417796659</v>
      </c>
      <c r="AJ4" s="232"/>
      <c r="AK4" s="233"/>
      <c r="AY4"/>
    </row>
    <row r="5" spans="1:52" x14ac:dyDescent="0.3">
      <c r="A5" s="148"/>
      <c r="B5" s="725" t="s">
        <v>544</v>
      </c>
      <c r="C5" s="726" t="s">
        <v>563</v>
      </c>
      <c r="D5" s="796">
        <f t="shared" ref="D5:G5" si="2">D6*$AE6/($AE5-$AE12)+D7*$AE7/($AE5-$AE12)+D8*$AE8/($AE5-$AE12)+D9*$AE9/($AE5-$AE12)+D10*$AE10/($AE5-$AE12)+D11*$AE11/($AE5-$AE12)</f>
        <v>0</v>
      </c>
      <c r="E5" s="720">
        <f t="shared" si="2"/>
        <v>0</v>
      </c>
      <c r="F5" s="720">
        <f t="shared" si="2"/>
        <v>0.40704851526225294</v>
      </c>
      <c r="G5" s="721">
        <f t="shared" si="2"/>
        <v>8.3096080885936967</v>
      </c>
      <c r="H5" s="722"/>
      <c r="I5" s="722"/>
      <c r="J5" s="722"/>
      <c r="K5" s="722"/>
      <c r="L5" s="722"/>
      <c r="M5" s="720"/>
      <c r="N5" s="721">
        <f>N6*$AE6/($AE5-$AE12)+N7*$AE7/($AE5-$AE12)+N8*$AE8/($AE5-$AE12)+N9*$AE9/($AE5-$AE12)+N10*$AE10/($AE5-$AE12)+N11*$AE11/($AE5-$AE12)</f>
        <v>0</v>
      </c>
      <c r="O5" s="721"/>
      <c r="P5" s="721">
        <f t="shared" ref="P5:AB5" si="3">P6*$AE6/($AE5-$AE12)+P7*$AE7/($AE5-$AE12)+P8*$AE8/($AE5-$AE12)+P9*$AE9/($AE5-$AE12)+P10*$AE10/($AE5-$AE12)+P11*$AE11/($AE5-$AE12)</f>
        <v>6.2064989788477867</v>
      </c>
      <c r="Q5" s="721">
        <f t="shared" si="3"/>
        <v>0</v>
      </c>
      <c r="R5" s="721">
        <f t="shared" si="3"/>
        <v>10.636342075632955</v>
      </c>
      <c r="S5" s="721">
        <f t="shared" si="3"/>
        <v>11.978443011301351</v>
      </c>
      <c r="T5" s="720">
        <f t="shared" si="3"/>
        <v>3.0129353310689981</v>
      </c>
      <c r="U5" s="720">
        <f t="shared" si="3"/>
        <v>3.2799792042846203</v>
      </c>
      <c r="V5" s="720">
        <f t="shared" si="3"/>
        <v>3.4553809004368907</v>
      </c>
      <c r="W5" s="720">
        <f t="shared" si="3"/>
        <v>0.81423767846174933</v>
      </c>
      <c r="X5" s="720">
        <f t="shared" si="3"/>
        <v>0</v>
      </c>
      <c r="Y5" s="720">
        <f t="shared" si="3"/>
        <v>4.6084394155373918</v>
      </c>
      <c r="Z5" s="720">
        <f t="shared" si="3"/>
        <v>8.0106885971218275E-2</v>
      </c>
      <c r="AA5" s="720">
        <f t="shared" si="3"/>
        <v>3.1613474680579824E-2</v>
      </c>
      <c r="AB5" s="720">
        <f t="shared" si="3"/>
        <v>0.46729016816543989</v>
      </c>
      <c r="AC5" s="720">
        <f>AC6*$AE6/($AE5-$AE12)+AC7*$AE7/($AE5-$AE12)+AC8*$AE8/($AE5-$AE12)+AC9*$AE9/($AE5-$AE12)+AC10*$AE10/($AE5-$AE12)+AC11*$AE11/($AE5-$AE12)</f>
        <v>1.3084124708632316</v>
      </c>
      <c r="AD5" s="875">
        <f>SUM(AD6:AD12)</f>
        <v>325.0186632613312</v>
      </c>
      <c r="AE5" s="886">
        <f>SUM(AE6:AE12)</f>
        <v>933.62885555268792</v>
      </c>
      <c r="AF5" s="893">
        <f>SUM(AF6:AF12)</f>
        <v>380.2901012962032</v>
      </c>
      <c r="AG5" s="894">
        <f>SUM(AG6:AG12)</f>
        <v>271.49849710361445</v>
      </c>
      <c r="AH5" s="757">
        <f>SUM(AH6:AH12)</f>
        <v>31.162541779665908</v>
      </c>
      <c r="AJ5" s="232"/>
      <c r="AY5"/>
    </row>
    <row r="6" spans="1:52" ht="28.95" customHeight="1" x14ac:dyDescent="0.3">
      <c r="A6" s="148">
        <v>1</v>
      </c>
      <c r="B6" s="736" t="str">
        <f>'Procesy - AS IS'!B6</f>
        <v>Meranie č. 1</v>
      </c>
      <c r="C6" s="739" t="str">
        <f>'Procesy - AS IS'!C6</f>
        <v>AUTOGRAND, a.s., Zaobchádzanie so znečisťujúcimi látkami, 1045/2017</v>
      </c>
      <c r="D6" s="779">
        <f>'Procesy - AS IS'!D8+'Procesy - ∆'!D6</f>
        <v>0</v>
      </c>
      <c r="E6" s="737">
        <f>'Procesy - AS IS'!E8+'Procesy - ∆'!E6</f>
        <v>0</v>
      </c>
      <c r="F6" s="737">
        <f>'Procesy - AS IS'!F8+'Procesy - ∆'!F6</f>
        <v>0</v>
      </c>
      <c r="G6" s="737">
        <f>'Procesy - AS IS'!G8+'Procesy - ∆'!G6</f>
        <v>8.4</v>
      </c>
      <c r="H6" s="737" t="s">
        <v>568</v>
      </c>
      <c r="I6" s="737" t="s">
        <v>568</v>
      </c>
      <c r="J6" s="737" t="s">
        <v>568</v>
      </c>
      <c r="K6" s="737" t="s">
        <v>568</v>
      </c>
      <c r="L6" s="737" t="s">
        <v>568</v>
      </c>
      <c r="M6" s="737" t="s">
        <v>568</v>
      </c>
      <c r="N6" s="737">
        <f>'Procesy - AS IS'!N8+'Procesy - ∆'!N6</f>
        <v>0</v>
      </c>
      <c r="O6" s="737" t="s">
        <v>572</v>
      </c>
      <c r="P6" s="737">
        <f>'Procesy - AS IS'!P8+'Procesy - ∆'!P6</f>
        <v>8.8000000000000007</v>
      </c>
      <c r="Q6" s="737">
        <f>'Procesy - AS IS'!Q8+'Procesy - ∆'!Q6</f>
        <v>0</v>
      </c>
      <c r="R6" s="737">
        <f>'Procesy - AS IS'!R8+'Procesy - ∆'!R6</f>
        <v>5.2897959183673473</v>
      </c>
      <c r="S6" s="737">
        <f>'Procesy - AS IS'!S8+'Procesy - ∆'!S6</f>
        <v>9.1102040816326522</v>
      </c>
      <c r="T6" s="737">
        <f>'Procesy - AS IS'!T8+'Procesy - ∆'!T6</f>
        <v>3.5265306122448981</v>
      </c>
      <c r="U6" s="737">
        <f>'Procesy - AS IS'!U8+'Procesy - ∆'!U6</f>
        <v>3.5428571428571431</v>
      </c>
      <c r="V6" s="737">
        <f>'Procesy - AS IS'!V8+'Procesy - ∆'!V6</f>
        <v>4</v>
      </c>
      <c r="W6" s="737">
        <f>'Procesy - AS IS'!W8+'Procesy - ∆'!W6</f>
        <v>0.7142857142857143</v>
      </c>
      <c r="X6" s="737">
        <f>'Procesy - AS IS'!X8+'Procesy - ∆'!X6</f>
        <v>0</v>
      </c>
      <c r="Y6" s="737">
        <f>'Procesy - AS IS'!Y8+'Procesy - ∆'!Y6</f>
        <v>3.6734693877551021</v>
      </c>
      <c r="Z6" s="737">
        <f>'Procesy - AS IS'!Z8+'Procesy - ∆'!Z6</f>
        <v>0.12244897959183673</v>
      </c>
      <c r="AA6" s="737">
        <f>'Procesy - AS IS'!AA8+'Procesy - ∆'!AA6</f>
        <v>4.5918367346938771E-2</v>
      </c>
      <c r="AB6" s="737">
        <f>'Procesy - AS IS'!AB8+'Procesy - ∆'!AB6</f>
        <v>0.7142857142857143</v>
      </c>
      <c r="AC6" s="737">
        <f>'Procesy - AS IS'!AC8+'Procesy - ∆'!AC6</f>
        <v>2</v>
      </c>
      <c r="AD6" s="820">
        <f t="shared" ref="AD6:AD11" si="4">SUM(D6:AC6)</f>
        <v>49.939795918367352</v>
      </c>
      <c r="AE6" s="887">
        <f>'Procesy - AS IS'!AG8+'Procesy - ∆'!AF6</f>
        <v>322.86876034408783</v>
      </c>
      <c r="AF6" s="894">
        <f>'Procesy - AS IS'!AH8+'Procesy - ∆'!AG6</f>
        <v>118.60485073864452</v>
      </c>
      <c r="AG6" s="894">
        <f>'Procesy - AS IS'!AI8+'Procesy - ∆'!AH6</f>
        <v>82.364479679614249</v>
      </c>
      <c r="AH6" s="757">
        <f>'Procesy - AS IS'!AJ8+'Procesy - ∆'!AI6</f>
        <v>16.47289593592285</v>
      </c>
      <c r="AJ6" s="232"/>
      <c r="AY6"/>
    </row>
    <row r="7" spans="1:52" ht="30.6" customHeight="1" x14ac:dyDescent="0.3">
      <c r="A7" s="148">
        <f ca="1">OFFSET(A7,-1,0)+1</f>
        <v>2</v>
      </c>
      <c r="B7" s="234" t="str">
        <f ca="1">'Procesy - AS IS'!B9</f>
        <v>Meranie č. 2</v>
      </c>
      <c r="C7" s="718" t="str">
        <f>'Procesy - AS IS'!C9</f>
        <v>ETI ELB, s.r.o. Báhoň, Nakladanie s vodami a prevádzku a účinnosť ČOV, 6419/2017</v>
      </c>
      <c r="D7" s="779">
        <f>'Procesy - AS IS'!D11+'Procesy - ∆'!D20</f>
        <v>0</v>
      </c>
      <c r="E7" s="721">
        <f>'Procesy - AS IS'!E11+'Procesy - ∆'!E20</f>
        <v>0</v>
      </c>
      <c r="F7" s="721">
        <f>'Procesy - AS IS'!F11+'Procesy - ∆'!F20</f>
        <v>0</v>
      </c>
      <c r="G7" s="721">
        <f>'Procesy - AS IS'!G11+'Procesy - ∆'!G20</f>
        <v>8.4</v>
      </c>
      <c r="H7" s="721" t="s">
        <v>568</v>
      </c>
      <c r="I7" s="721" t="s">
        <v>568</v>
      </c>
      <c r="J7" s="721" t="s">
        <v>568</v>
      </c>
      <c r="K7" s="721" t="s">
        <v>568</v>
      </c>
      <c r="L7" s="721" t="s">
        <v>568</v>
      </c>
      <c r="M7" s="721" t="s">
        <v>568</v>
      </c>
      <c r="N7" s="721">
        <f>'Procesy - AS IS'!N11+'Procesy - ∆'!N20</f>
        <v>0</v>
      </c>
      <c r="O7" s="721" t="s">
        <v>572</v>
      </c>
      <c r="P7" s="721">
        <f>'Procesy - AS IS'!P11+'Procesy - ∆'!P20</f>
        <v>8.8000000000000007</v>
      </c>
      <c r="Q7" s="721">
        <f>'Procesy - AS IS'!Q11+'Procesy - ∆'!Q20</f>
        <v>0</v>
      </c>
      <c r="R7" s="721">
        <f>'Procesy - AS IS'!R11+'Procesy - ∆'!R20</f>
        <v>5.2540540540540537</v>
      </c>
      <c r="S7" s="721">
        <f>'Procesy - AS IS'!S11+'Procesy - ∆'!S20</f>
        <v>9.1459459459459449</v>
      </c>
      <c r="T7" s="721">
        <f>'Procesy - AS IS'!T11+'Procesy - ∆'!T20</f>
        <v>3.5027027027027025</v>
      </c>
      <c r="U7" s="721">
        <f>'Procesy - AS IS'!U11+'Procesy - ∆'!U20</f>
        <v>3.5567567567567568</v>
      </c>
      <c r="V7" s="721">
        <f>'Procesy - AS IS'!V11+'Procesy - ∆'!V20</f>
        <v>4</v>
      </c>
      <c r="W7" s="721">
        <f>'Procesy - AS IS'!W11+'Procesy - ∆'!W20</f>
        <v>0.7189189189189189</v>
      </c>
      <c r="X7" s="721">
        <f>'Procesy - AS IS'!X11+'Procesy - ∆'!X20</f>
        <v>0</v>
      </c>
      <c r="Y7" s="721">
        <f>'Procesy - AS IS'!Y11+'Procesy - ∆'!Y20</f>
        <v>3.6972972972972968</v>
      </c>
      <c r="Z7" s="721">
        <f>'Procesy - AS IS'!Z11+'Procesy - ∆'!Z20</f>
        <v>0.11351351351351352</v>
      </c>
      <c r="AA7" s="721">
        <f>'Procesy - AS IS'!AA11+'Procesy - ∆'!AA20</f>
        <v>4.72972972972973E-2</v>
      </c>
      <c r="AB7" s="721">
        <f>'Procesy - AS IS'!AB11+'Procesy - ∆'!AB20</f>
        <v>0.66216216216216228</v>
      </c>
      <c r="AC7" s="721">
        <f>'Procesy - AS IS'!AC11+'Procesy - ∆'!AC20</f>
        <v>1.8540540540540542</v>
      </c>
      <c r="AD7" s="824">
        <f t="shared" si="4"/>
        <v>49.752702702702692</v>
      </c>
      <c r="AE7" s="887">
        <f>'Procesy - AS IS'!AG11+'Procesy - ∆'!AF20</f>
        <v>243.88624820055952</v>
      </c>
      <c r="AF7" s="894">
        <f>'Procesy - AS IS'!AH11+'Procesy - ∆'!AG20</f>
        <v>88.985522992096037</v>
      </c>
      <c r="AG7" s="894">
        <f>'Procesy - AS IS'!AI11+'Procesy - ∆'!AH20</f>
        <v>62.619442105549062</v>
      </c>
      <c r="AH7" s="757">
        <f>'Procesy - AS IS'!AJ11+'Procesy - ∆'!AI20</f>
        <v>11.535160387864302</v>
      </c>
      <c r="AJ7" s="232"/>
      <c r="AY7"/>
    </row>
    <row r="8" spans="1:52" ht="28.8" x14ac:dyDescent="0.3">
      <c r="A8" s="148">
        <f ca="1">OFFSET(A8,-1,0)+1</f>
        <v>3</v>
      </c>
      <c r="B8" s="234" t="str">
        <f ca="1">'Procesy - AS IS'!B12</f>
        <v>Meranie č. 3</v>
      </c>
      <c r="C8" s="718" t="str">
        <f>'Procesy - AS IS'!C12</f>
        <v>BVS, a.s., Mimoriadne zhoršenie vôd, 053/015/2016/BA</v>
      </c>
      <c r="D8" s="779">
        <f>'Procesy - AS IS'!D14+'Procesy - ∆'!D34</f>
        <v>0</v>
      </c>
      <c r="E8" s="721">
        <f>'Procesy - AS IS'!E14+'Procesy - ∆'!E34</f>
        <v>0</v>
      </c>
      <c r="F8" s="721">
        <f>'Procesy - AS IS'!F14+'Procesy - ∆'!F34</f>
        <v>0</v>
      </c>
      <c r="G8" s="721">
        <f>'Procesy - AS IS'!G14+'Procesy - ∆'!G34</f>
        <v>8.0698996655518389</v>
      </c>
      <c r="H8" s="721" t="s">
        <v>568</v>
      </c>
      <c r="I8" s="721" t="s">
        <v>568</v>
      </c>
      <c r="J8" s="721" t="s">
        <v>568</v>
      </c>
      <c r="K8" s="721" t="s">
        <v>568</v>
      </c>
      <c r="L8" s="721" t="s">
        <v>568</v>
      </c>
      <c r="M8" s="721" t="s">
        <v>568</v>
      </c>
      <c r="N8" s="721">
        <f>'Procesy - AS IS'!N14+'Procesy - ∆'!N34</f>
        <v>0</v>
      </c>
      <c r="O8" s="721" t="s">
        <v>572</v>
      </c>
      <c r="P8" s="721">
        <f>'Procesy - AS IS'!P14+'Procesy - ∆'!P34</f>
        <v>2.2000000000000002</v>
      </c>
      <c r="Q8" s="721">
        <f>'Procesy - AS IS'!Q14+'Procesy - ∆'!Q34</f>
        <v>0</v>
      </c>
      <c r="R8" s="721">
        <f>'Procesy - AS IS'!R14+'Procesy - ∆'!R34</f>
        <v>24.408376963350783</v>
      </c>
      <c r="S8" s="721">
        <f>'Procesy - AS IS'!S14+'Procesy - ∆'!S34</f>
        <v>12.565445026178011</v>
      </c>
      <c r="T8" s="721">
        <f>'Procesy - AS IS'!T14+'Procesy - ∆'!T34</f>
        <v>2.0921465968586386</v>
      </c>
      <c r="U8" s="721">
        <f>'Procesy - AS IS'!U14+'Procesy - ∆'!U34</f>
        <v>2.3455497382198951</v>
      </c>
      <c r="V8" s="721">
        <f>'Procesy - AS IS'!V14+'Procesy - ∆'!V34</f>
        <v>0.25</v>
      </c>
      <c r="W8" s="721">
        <f>'Procesy - AS IS'!W14+'Procesy - ∆'!W34</f>
        <v>1.1434554973821989</v>
      </c>
      <c r="X8" s="721">
        <f>'Procesy - AS IS'!X14+'Procesy - ∆'!X34</f>
        <v>0</v>
      </c>
      <c r="Y8" s="721">
        <f>'Procesy - AS IS'!Y14+'Procesy - ∆'!Y34</f>
        <v>7.3507853403141352</v>
      </c>
      <c r="Z8" s="721">
        <f>'Procesy - AS IS'!Z14+'Procesy - ∆'!Z34</f>
        <v>0</v>
      </c>
      <c r="AA8" s="721">
        <f>'Procesy - AS IS'!AA14+'Procesy - ∆'!AA34</f>
        <v>0</v>
      </c>
      <c r="AB8" s="721">
        <f>'Procesy - AS IS'!AB14+'Procesy - ∆'!AB34</f>
        <v>0</v>
      </c>
      <c r="AC8" s="721">
        <f>'Procesy - AS IS'!AC14+'Procesy - ∆'!AC34</f>
        <v>0</v>
      </c>
      <c r="AD8" s="824">
        <f t="shared" si="4"/>
        <v>60.4256588278555</v>
      </c>
      <c r="AE8" s="887">
        <f>'Procesy - AS IS'!AG14/2+'Procesy - ∆'!AF34</f>
        <v>132.12458147436445</v>
      </c>
      <c r="AF8" s="894">
        <f>'Procesy - AS IS'!AH14/2+'Procesy - ∆'!AG34</f>
        <v>76.784442636934315</v>
      </c>
      <c r="AG8" s="894">
        <f>'Procesy - AS IS'!AI14/2+'Procesy - ∆'!AH34</f>
        <v>53.956635366494382</v>
      </c>
      <c r="AH8" s="757">
        <f>'Procesy - AS IS'!AJ14/2+'Procesy - ∆'!AI34</f>
        <v>0</v>
      </c>
      <c r="AJ8" s="232"/>
      <c r="AY8"/>
    </row>
    <row r="9" spans="1:52" ht="43.2" x14ac:dyDescent="0.3">
      <c r="A9" s="148">
        <f ca="1">OFFSET(A9,-1,0)+1</f>
        <v>4</v>
      </c>
      <c r="B9" s="234" t="str">
        <f ca="1">'Procesy - AS IS'!B15</f>
        <v>Meranie č. 4</v>
      </c>
      <c r="C9" s="718" t="str">
        <f>'Procesy - AS IS'!C15</f>
        <v>TANYA TRANS, s.r.o. Ľuda Zúbka, 901 01 Malacky , Mimoriadne zhoršenie vôd, 109/012/2018/NR</v>
      </c>
      <c r="D9" s="779">
        <f>'Procesy - AS IS'!D17+'Procesy - ∆'!D48</f>
        <v>0</v>
      </c>
      <c r="E9" s="721">
        <f>'Procesy - AS IS'!E17+'Procesy - ∆'!E48</f>
        <v>0</v>
      </c>
      <c r="F9" s="721">
        <f>'Procesy - AS IS'!F17+'Procesy - ∆'!F48</f>
        <v>0</v>
      </c>
      <c r="G9" s="721">
        <f>'Procesy - AS IS'!G17+'Procesy - ∆'!G48</f>
        <v>7</v>
      </c>
      <c r="H9" s="721" t="s">
        <v>568</v>
      </c>
      <c r="I9" s="721" t="s">
        <v>568</v>
      </c>
      <c r="J9" s="721" t="s">
        <v>568</v>
      </c>
      <c r="K9" s="721" t="s">
        <v>568</v>
      </c>
      <c r="L9" s="721" t="s">
        <v>568</v>
      </c>
      <c r="M9" s="721" t="s">
        <v>568</v>
      </c>
      <c r="N9" s="721">
        <f>'Procesy - AS IS'!N17+'Procesy - ∆'!N48</f>
        <v>0</v>
      </c>
      <c r="O9" s="721" t="s">
        <v>572</v>
      </c>
      <c r="P9" s="721">
        <f>'Procesy - AS IS'!P17+'Procesy - ∆'!P48</f>
        <v>2.2000000000000002</v>
      </c>
      <c r="Q9" s="721">
        <f>'Procesy - AS IS'!Q17+'Procesy - ∆'!Q48</f>
        <v>0</v>
      </c>
      <c r="R9" s="721">
        <f>'Procesy - AS IS'!R17+'Procesy - ∆'!R48</f>
        <v>24.408376963350783</v>
      </c>
      <c r="S9" s="721">
        <f>'Procesy - AS IS'!S17+'Procesy - ∆'!S48</f>
        <v>17.591623036649214</v>
      </c>
      <c r="T9" s="721">
        <f>'Procesy - AS IS'!T17+'Procesy - ∆'!T48</f>
        <v>2.7895287958115182</v>
      </c>
      <c r="U9" s="721">
        <f>'Procesy - AS IS'!U17+'Procesy - ∆'!U48</f>
        <v>2.3455497382198951</v>
      </c>
      <c r="V9" s="721">
        <f>'Procesy - AS IS'!V17+'Procesy - ∆'!V48</f>
        <v>4</v>
      </c>
      <c r="W9" s="721">
        <f>'Procesy - AS IS'!W17+'Procesy - ∆'!W48</f>
        <v>1.1434554973821989</v>
      </c>
      <c r="X9" s="721">
        <f>'Procesy - AS IS'!X17+'Procesy - ∆'!X48</f>
        <v>0</v>
      </c>
      <c r="Y9" s="721">
        <f>'Procesy - AS IS'!Y17+'Procesy - ∆'!Y48</f>
        <v>7.3507853403141352</v>
      </c>
      <c r="Z9" s="721">
        <f>'Procesy - AS IS'!Z17+'Procesy - ∆'!Z48</f>
        <v>0</v>
      </c>
      <c r="AA9" s="721">
        <f>'Procesy - AS IS'!AA17+'Procesy - ∆'!AA48</f>
        <v>0</v>
      </c>
      <c r="AB9" s="721">
        <f>'Procesy - AS IS'!AB17+'Procesy - ∆'!AB48</f>
        <v>0</v>
      </c>
      <c r="AC9" s="721">
        <f>'Procesy - AS IS'!AC17+'Procesy - ∆'!AC48</f>
        <v>0</v>
      </c>
      <c r="AD9" s="824">
        <f t="shared" si="4"/>
        <v>68.829319371727735</v>
      </c>
      <c r="AE9" s="887">
        <f>'Procesy - AS IS'!AG14/2+'Procesy - ∆'!AF48</f>
        <v>135.18948153106552</v>
      </c>
      <c r="AF9" s="894">
        <f>'Procesy - AS IS'!AH14/2+'Procesy - ∆'!AG48</f>
        <v>78.565614921195163</v>
      </c>
      <c r="AG9" s="894">
        <f>'Procesy - AS IS'!AI14/2+'Procesy - ∆'!AH48</f>
        <v>55.208269944623623</v>
      </c>
      <c r="AH9" s="757">
        <f>'Procesy - AS IS'!AJ14/2+'Procesy - ∆'!AI48</f>
        <v>0</v>
      </c>
      <c r="AJ9" s="232"/>
      <c r="AY9"/>
    </row>
    <row r="10" spans="1:52" ht="43.2" x14ac:dyDescent="0.3">
      <c r="A10" s="148">
        <f ca="1">OFFSET(A10,-1,0)+1</f>
        <v>5</v>
      </c>
      <c r="B10" s="234" t="str">
        <f ca="1">'Procesy - AS IS'!B18</f>
        <v>Meranie č. 5</v>
      </c>
      <c r="C10" s="718" t="str">
        <f>'Procesy - AS IS'!C18</f>
        <v>VOLKSWAGEN, SLOVAKIA, a.s., Prevencia závažných priemyselných havárií, 5220/2018</v>
      </c>
      <c r="D10" s="779">
        <f>'Procesy - AS IS'!D20+'Procesy - ∆'!D62</f>
        <v>0</v>
      </c>
      <c r="E10" s="721">
        <f>'Procesy - AS IS'!E20+'Procesy - ∆'!E62</f>
        <v>0</v>
      </c>
      <c r="F10" s="721">
        <f>'Procesy - AS IS'!F20+'Procesy - ∆'!F62</f>
        <v>4</v>
      </c>
      <c r="G10" s="721">
        <f>'Procesy - AS IS'!G20+'Procesy - ∆'!G62</f>
        <v>9.8000000000000007</v>
      </c>
      <c r="H10" s="721" t="s">
        <v>568</v>
      </c>
      <c r="I10" s="721" t="s">
        <v>568</v>
      </c>
      <c r="J10" s="721" t="s">
        <v>568</v>
      </c>
      <c r="K10" s="721" t="s">
        <v>568</v>
      </c>
      <c r="L10" s="721" t="s">
        <v>568</v>
      </c>
      <c r="M10" s="721" t="s">
        <v>568</v>
      </c>
      <c r="N10" s="721">
        <f>'Procesy - AS IS'!N20+'Procesy - ∆'!N62</f>
        <v>0</v>
      </c>
      <c r="O10" s="721" t="s">
        <v>572</v>
      </c>
      <c r="P10" s="721">
        <f>'Procesy - AS IS'!P20+'Procesy - ∆'!P62</f>
        <v>2.2000000000000002</v>
      </c>
      <c r="Q10" s="721">
        <f>'Procesy - AS IS'!Q20+'Procesy - ∆'!Q62</f>
        <v>0</v>
      </c>
      <c r="R10" s="721">
        <f>'Procesy - AS IS'!R20+'Procesy - ∆'!R62</f>
        <v>4.4745762711864403</v>
      </c>
      <c r="S10" s="721">
        <f>'Procesy - AS IS'!S20+'Procesy - ∆'!S62</f>
        <v>19.525423728813557</v>
      </c>
      <c r="T10" s="721">
        <f>'Procesy - AS IS'!T20+'Procesy - ∆'!T62</f>
        <v>1.7898305084745763</v>
      </c>
      <c r="U10" s="721">
        <f>'Procesy - AS IS'!U20+'Procesy - ∆'!U62</f>
        <v>4.5559322033898306</v>
      </c>
      <c r="V10" s="721">
        <f>'Procesy - AS IS'!V20+'Procesy - ∆'!V62</f>
        <v>4</v>
      </c>
      <c r="W10" s="721">
        <f>'Procesy - AS IS'!W20+'Procesy - ∆'!W62</f>
        <v>0.52203389830508473</v>
      </c>
      <c r="X10" s="721">
        <f>'Procesy - AS IS'!X20+'Procesy - ∆'!X62</f>
        <v>0</v>
      </c>
      <c r="Y10" s="721">
        <f>'Procesy - AS IS'!Y20+'Procesy - ∆'!Y62</f>
        <v>2.6847457627118647</v>
      </c>
      <c r="Z10" s="721">
        <f>'Procesy - AS IS'!Z20+'Procesy - ∆'!Z62</f>
        <v>8.1355932203389825E-2</v>
      </c>
      <c r="AA10" s="721">
        <f>'Procesy - AS IS'!AA20+'Procesy - ∆'!AA62</f>
        <v>3.3898305084745763E-2</v>
      </c>
      <c r="AB10" s="721">
        <f>'Procesy - AS IS'!AB20+'Procesy - ∆'!AB62</f>
        <v>0.47457627118644063</v>
      </c>
      <c r="AC10" s="721">
        <f>'Procesy - AS IS'!AC20+'Procesy - ∆'!AC62</f>
        <v>1.3288135593220338</v>
      </c>
      <c r="AD10" s="824">
        <f t="shared" si="4"/>
        <v>55.471186440677961</v>
      </c>
      <c r="AE10" s="887">
        <f>'Procesy - AS IS'!AG20+'Procesy - ∆'!AF62</f>
        <v>93.057320948423353</v>
      </c>
      <c r="AF10" s="894">
        <f>'Procesy - AS IS'!AH20+'Procesy - ∆'!AG62</f>
        <v>17.349670007333167</v>
      </c>
      <c r="AG10" s="894">
        <f>'Procesy - AS IS'!AI20+'Procesy - ∆'!AH62</f>
        <v>17.349670007333167</v>
      </c>
      <c r="AH10" s="757">
        <f>'Procesy - AS IS'!AJ20+'Procesy - ∆'!AI62</f>
        <v>3.1544854558787581</v>
      </c>
      <c r="AJ10" s="232"/>
      <c r="AY10"/>
    </row>
    <row r="11" spans="1:52" ht="43.2" customHeight="1" x14ac:dyDescent="0.3">
      <c r="A11" s="148">
        <f ca="1">OFFSET(A11,-1,0)+1</f>
        <v>6</v>
      </c>
      <c r="B11" s="234" t="str">
        <f ca="1">'Procesy - AS IS'!B21</f>
        <v>Meranie č. 6</v>
      </c>
      <c r="C11" s="718" t="str">
        <f>'Procesy - AS IS'!C21</f>
        <v>ADDA spol.s.r.o, Slamkova14, 949 07 Nitra - Janíkovce, Chemický zákon, 7262/2018</v>
      </c>
      <c r="D11" s="779">
        <f>'Procesy - AS IS'!D23+'Procesy - ∆'!D76</f>
        <v>0</v>
      </c>
      <c r="E11" s="721">
        <f>'Procesy - AS IS'!E23+'Procesy - ∆'!E76</f>
        <v>0</v>
      </c>
      <c r="F11" s="721">
        <f>'Procesy - AS IS'!F23+'Procesy - ∆'!F76</f>
        <v>1.2</v>
      </c>
      <c r="G11" s="721">
        <f>'Procesy - AS IS'!G23+'Procesy - ∆'!G76</f>
        <v>11.2</v>
      </c>
      <c r="H11" s="721" t="s">
        <v>568</v>
      </c>
      <c r="I11" s="721" t="s">
        <v>568</v>
      </c>
      <c r="J11" s="721" t="s">
        <v>568</v>
      </c>
      <c r="K11" s="721" t="s">
        <v>568</v>
      </c>
      <c r="L11" s="721" t="s">
        <v>568</v>
      </c>
      <c r="M11" s="721" t="s">
        <v>568</v>
      </c>
      <c r="N11" s="721">
        <f>'Procesy - AS IS'!N23+'Procesy - ∆'!N76</f>
        <v>0</v>
      </c>
      <c r="O11" s="721" t="s">
        <v>572</v>
      </c>
      <c r="P11" s="721">
        <f>'Procesy - AS IS'!P23+'Procesy - ∆'!P76</f>
        <v>2.2000000000000002</v>
      </c>
      <c r="Q11" s="721">
        <f>'Procesy - AS IS'!Q23+'Procesy - ∆'!Q76</f>
        <v>0</v>
      </c>
      <c r="R11" s="721">
        <f>'Procesy - AS IS'!R23+'Procesy - ∆'!R76</f>
        <v>0</v>
      </c>
      <c r="S11" s="721">
        <f>'Procesy - AS IS'!S23+'Procesy - ∆'!S76</f>
        <v>24</v>
      </c>
      <c r="T11" s="721">
        <f>'Procesy - AS IS'!T23+'Procesy - ∆'!T76</f>
        <v>0</v>
      </c>
      <c r="U11" s="721">
        <f>'Procesy - AS IS'!U23+'Procesy - ∆'!U76</f>
        <v>0</v>
      </c>
      <c r="V11" s="721">
        <f>'Procesy - AS IS'!V23+'Procesy - ∆'!V76</f>
        <v>2</v>
      </c>
      <c r="W11" s="721">
        <f>'Procesy - AS IS'!W23+'Procesy - ∆'!W76</f>
        <v>0</v>
      </c>
      <c r="X11" s="721">
        <f>'Procesy - AS IS'!X23+'Procesy - ∆'!X76</f>
        <v>0</v>
      </c>
      <c r="Y11" s="721">
        <f>'Procesy - AS IS'!Y23+'Procesy - ∆'!Y76</f>
        <v>0</v>
      </c>
      <c r="Z11" s="721">
        <f>'Procesy - AS IS'!Z23+'Procesy - ∆'!Z76</f>
        <v>0</v>
      </c>
      <c r="AA11" s="721">
        <f>'Procesy - AS IS'!AA23+'Procesy - ∆'!AA76</f>
        <v>0</v>
      </c>
      <c r="AB11" s="721">
        <f>'Procesy - AS IS'!AB23+'Procesy - ∆'!AB76</f>
        <v>0</v>
      </c>
      <c r="AC11" s="721">
        <f>'Procesy - AS IS'!AC23+'Procesy - ∆'!AC76</f>
        <v>0</v>
      </c>
      <c r="AD11" s="824">
        <f t="shared" si="4"/>
        <v>40.599999999999994</v>
      </c>
      <c r="AE11" s="887">
        <f>'Procesy - AS IS'!AG23+'Procesy - ∆'!AF76</f>
        <v>6.5024630541871913</v>
      </c>
      <c r="AF11" s="894">
        <f>'Procesy - AS IS'!AH23+'Procesy - ∆'!AG76</f>
        <v>0</v>
      </c>
      <c r="AG11" s="894">
        <f>'Procesy - AS IS'!AI23+'Procesy - ∆'!AH76</f>
        <v>0</v>
      </c>
      <c r="AH11" s="757">
        <f>'Procesy - AS IS'!AJ23+'Procesy - ∆'!AI76</f>
        <v>0</v>
      </c>
      <c r="AJ11" s="232"/>
      <c r="AY11"/>
    </row>
    <row r="12" spans="1:52" ht="15" thickBot="1" x14ac:dyDescent="0.35">
      <c r="A12" s="148"/>
      <c r="B12" s="811"/>
      <c r="C12" s="812" t="s">
        <v>601</v>
      </c>
      <c r="D12" s="813"/>
      <c r="E12" s="813"/>
      <c r="F12" s="813"/>
      <c r="G12" s="814"/>
      <c r="H12" s="814"/>
      <c r="I12" s="814"/>
      <c r="J12" s="814"/>
      <c r="K12" s="814"/>
      <c r="L12" s="814"/>
      <c r="M12" s="814"/>
      <c r="N12" s="814"/>
      <c r="O12" s="814"/>
      <c r="P12" s="814"/>
      <c r="Q12" s="814"/>
      <c r="R12" s="814"/>
      <c r="S12" s="814"/>
      <c r="T12" s="814"/>
      <c r="U12" s="814"/>
      <c r="V12" s="814"/>
      <c r="W12" s="814"/>
      <c r="X12" s="814"/>
      <c r="Y12" s="814"/>
      <c r="Z12" s="814"/>
      <c r="AA12" s="814"/>
      <c r="AB12" s="814"/>
      <c r="AC12" s="814"/>
      <c r="AD12" s="821"/>
      <c r="AE12" s="1026">
        <f>'Procesy - AS IS'!AG24+'Procesy - ∆'!AF90</f>
        <v>0</v>
      </c>
      <c r="AF12" s="1027">
        <f>'Procesy - AS IS'!AH24+'Procesy - ∆'!AG90</f>
        <v>0</v>
      </c>
      <c r="AG12" s="1027">
        <f>'Procesy - AS IS'!AI24+'Procesy - ∆'!AH90</f>
        <v>0</v>
      </c>
      <c r="AH12" s="1028">
        <f>'Procesy - AS IS'!AJ24+'Procesy - ∆'!AI90</f>
        <v>0</v>
      </c>
      <c r="AJ12" s="232"/>
      <c r="AY12"/>
    </row>
    <row r="13" spans="1:52" x14ac:dyDescent="0.3">
      <c r="A13" s="148"/>
      <c r="B13" s="725" t="s">
        <v>545</v>
      </c>
      <c r="C13" s="726" t="s">
        <v>526</v>
      </c>
      <c r="D13" s="796">
        <f t="shared" ref="D13:G13" si="5">D14*$AE14/($AE13-$AE21)+D15*$AE15/($AE13-$AE21)+D16*$AE16/($AE13-$AE21)+D17*$AE17/($AE13-$AE21)+D18*$AE18/($AE13-$AE21)+D19*$AE19/($AE13-$AE21)+D20*$AE20/($AE13-$AE21)</f>
        <v>0</v>
      </c>
      <c r="E13" s="719">
        <f t="shared" si="5"/>
        <v>0</v>
      </c>
      <c r="F13" s="719">
        <f t="shared" si="5"/>
        <v>0</v>
      </c>
      <c r="G13" s="729">
        <f t="shared" si="5"/>
        <v>6.4105050618828905</v>
      </c>
      <c r="H13" s="722"/>
      <c r="I13" s="722"/>
      <c r="J13" s="722"/>
      <c r="K13" s="722"/>
      <c r="L13" s="729">
        <f t="shared" ref="L13:N13" si="6">L14*$AE14/($AE13-$AE21)+L15*$AE15/($AE13-$AE21)+L16*$AE16/($AE13-$AE21)+L17*$AE17/($AE13-$AE21)+L18*$AE18/($AE13-$AE21)+L19*$AE19/($AE13-$AE21)+L20*$AE20/($AE13-$AE21)</f>
        <v>0.14999999999999997</v>
      </c>
      <c r="M13" s="729">
        <f t="shared" si="6"/>
        <v>2.3176091149463112</v>
      </c>
      <c r="N13" s="719">
        <f t="shared" si="6"/>
        <v>0</v>
      </c>
      <c r="O13" s="719"/>
      <c r="P13" s="719">
        <f t="shared" ref="P13:AB13" si="7">P14*$AE14/($AE13-$AE21)+P15*$AE15/($AE13-$AE21)+P16*$AE16/($AE13-$AE21)+P17*$AE17/($AE13-$AE21)+P18*$AE18/($AE13-$AE21)+P19*$AE19/($AE13-$AE21)+P20*$AE20/($AE13-$AE21)</f>
        <v>0.54999999999999993</v>
      </c>
      <c r="Q13" s="719">
        <f t="shared" si="7"/>
        <v>0</v>
      </c>
      <c r="R13" s="719">
        <f t="shared" si="7"/>
        <v>2.2071935266362095</v>
      </c>
      <c r="S13" s="719">
        <f t="shared" si="7"/>
        <v>8.3216956823673875</v>
      </c>
      <c r="T13" s="719">
        <f t="shared" si="7"/>
        <v>0.75708022403139297</v>
      </c>
      <c r="U13" s="719">
        <f t="shared" si="7"/>
        <v>4.7167397386300411</v>
      </c>
      <c r="V13" s="719">
        <f t="shared" si="7"/>
        <v>0.3691874289323735</v>
      </c>
      <c r="W13" s="719">
        <f t="shared" si="7"/>
        <v>0.19777278895465761</v>
      </c>
      <c r="X13" s="719">
        <f t="shared" si="7"/>
        <v>0</v>
      </c>
      <c r="Y13" s="719">
        <f t="shared" si="7"/>
        <v>1.3561562671176521</v>
      </c>
      <c r="Z13" s="719">
        <f t="shared" si="7"/>
        <v>2.382727394744534E-2</v>
      </c>
      <c r="AA13" s="719">
        <f t="shared" si="7"/>
        <v>3.9712123245742241E-2</v>
      </c>
      <c r="AB13" s="719">
        <f t="shared" si="7"/>
        <v>0.36932804621847709</v>
      </c>
      <c r="AC13" s="720">
        <f>AC14*$AE14/($AE13-$AE21)+AC15*$AE15/($AE13-$AE21)+AC16*$AE16/($AE13-$AE21)+AC17*$AE17/($AE13-$AE21)+AC18*$AE18/($AE13-$AE21)+AC19*$AE19/($AE13-$AE21)+AC20*$AE20/($AE13-$AE21)</f>
        <v>0.73112189832682106</v>
      </c>
      <c r="AD13" s="822">
        <f>SUM(AD14:AD20)</f>
        <v>196.61977881767353</v>
      </c>
      <c r="AE13" s="884">
        <f>SUM(AE14:AE21)</f>
        <v>823.81668935472453</v>
      </c>
      <c r="AF13" s="1029">
        <f>SUM(AF14:AF21)</f>
        <v>159.26428184266675</v>
      </c>
      <c r="AG13" s="892">
        <v>175</v>
      </c>
      <c r="AH13" s="756">
        <v>19</v>
      </c>
      <c r="AJ13" s="232"/>
      <c r="AY13"/>
    </row>
    <row r="14" spans="1:52" ht="28.8" x14ac:dyDescent="0.3">
      <c r="A14" s="148">
        <f ca="1">OFFSET(A14,-3,0)+1</f>
        <v>7</v>
      </c>
      <c r="B14" s="736" t="str">
        <f ca="1">'Procesy - AS IS'!B26</f>
        <v>Meranie č. 7</v>
      </c>
      <c r="C14" s="739" t="str">
        <f>'Procesy - AS IS'!C26</f>
        <v>Modelovaný spis kontroly veľkého zdroja diskusiou s inšpektorom</v>
      </c>
      <c r="D14" s="779">
        <f>'Procesy - AS IS'!D28+'Procesy - ∆'!D92</f>
        <v>0</v>
      </c>
      <c r="E14" s="721">
        <f>'Procesy - AS IS'!E28+'Procesy - ∆'!E92</f>
        <v>0</v>
      </c>
      <c r="F14" s="721">
        <f>'Procesy - AS IS'!F28+'Procesy - ∆'!F92</f>
        <v>0</v>
      </c>
      <c r="G14" s="721">
        <f>'Procesy - AS IS'!G28+'Procesy - ∆'!G92</f>
        <v>8.4</v>
      </c>
      <c r="H14" s="721" t="s">
        <v>568</v>
      </c>
      <c r="I14" s="721" t="s">
        <v>568</v>
      </c>
      <c r="J14" s="721" t="s">
        <v>568</v>
      </c>
      <c r="K14" s="721" t="s">
        <v>568</v>
      </c>
      <c r="L14" s="721">
        <f>'Procesy - AS IS'!L28+'Procesy - ∆'!L92</f>
        <v>0.15</v>
      </c>
      <c r="M14" s="721">
        <f>'Procesy - AS IS'!M28+'Procesy - ∆'!M92</f>
        <v>2.1</v>
      </c>
      <c r="N14" s="721">
        <f>'Procesy - AS IS'!N28+'Procesy - ∆'!N92</f>
        <v>0</v>
      </c>
      <c r="O14" s="721" t="s">
        <v>572</v>
      </c>
      <c r="P14" s="721">
        <f>'Procesy - AS IS'!P28+'Procesy - ∆'!P92</f>
        <v>0.55000000000000004</v>
      </c>
      <c r="Q14" s="721">
        <f>'Procesy - AS IS'!Q28+'Procesy - ∆'!Q92</f>
        <v>0</v>
      </c>
      <c r="R14" s="721">
        <f>'Procesy - AS IS'!R28+'Procesy - ∆'!R92</f>
        <v>5.3485714285714288</v>
      </c>
      <c r="S14" s="721">
        <f>'Procesy - AS IS'!S28+'Procesy - ∆'!S92</f>
        <v>10.251428571428571</v>
      </c>
      <c r="T14" s="721">
        <f>'Procesy - AS IS'!T28+'Procesy - ∆'!T92</f>
        <v>1.6457142857142857</v>
      </c>
      <c r="U14" s="721">
        <f>'Procesy - AS IS'!U28+'Procesy - ∆'!U92</f>
        <v>3.6799999999999997</v>
      </c>
      <c r="V14" s="721">
        <f>'Procesy - AS IS'!V28+'Procesy - ∆'!V92</f>
        <v>0.25</v>
      </c>
      <c r="W14" s="721">
        <f>'Procesy - AS IS'!W28+'Procesy - ∆'!W92</f>
        <v>0.44</v>
      </c>
      <c r="X14" s="721">
        <f>'Procesy - AS IS'!X28+'Procesy - ∆'!X92</f>
        <v>0</v>
      </c>
      <c r="Y14" s="721">
        <f>'Procesy - AS IS'!Y28+'Procesy - ∆'!Y92</f>
        <v>3.0171428571428569</v>
      </c>
      <c r="Z14" s="721">
        <f>'Procesy - AS IS'!Z28+'Procesy - ∆'!Z92</f>
        <v>3.428571428571428E-2</v>
      </c>
      <c r="AA14" s="721">
        <f>'Procesy - AS IS'!AA28+'Procesy - ∆'!AA92</f>
        <v>5.7142857142857141E-2</v>
      </c>
      <c r="AB14" s="721">
        <f>'Procesy - AS IS'!AB28+'Procesy - ∆'!AB92</f>
        <v>0.8</v>
      </c>
      <c r="AC14" s="721">
        <f>'Procesy - AS IS'!AC28+'Procesy - ∆'!AC92</f>
        <v>1.3714285714285714</v>
      </c>
      <c r="AD14" s="824">
        <f t="shared" ref="AD14:AD20" si="8">SUM(D14:AC14)</f>
        <v>38.09571428571428</v>
      </c>
      <c r="AE14" s="887">
        <f>'Procesy - AS IS'!AG28+'Procesy - ∆'!AF92</f>
        <v>55.130873364082944</v>
      </c>
      <c r="AF14" s="894">
        <f>'Procesy - AS IS'!AH28+'Procesy - ∆'!AG92</f>
        <v>18.902013724828439</v>
      </c>
      <c r="AG14" s="894">
        <f>'Procesy - AS IS'!AI28+'Procesy - ∆'!AH92</f>
        <v>17.32684591442607</v>
      </c>
      <c r="AH14" s="757">
        <f>'Procesy - AS IS'!AJ28+'Procesy - ∆'!AI92</f>
        <v>3.1503356208047397</v>
      </c>
      <c r="AJ14" s="232"/>
      <c r="AY14"/>
    </row>
    <row r="15" spans="1:52" ht="70.8" customHeight="1" x14ac:dyDescent="0.3">
      <c r="A15" s="148">
        <f t="shared" ref="A15:A20" ca="1" si="9">OFFSET(A15,-1,0)+1</f>
        <v>8</v>
      </c>
      <c r="B15" s="234" t="str">
        <f ca="1">'Procesy - AS IS'!B29</f>
        <v>Meranie č. 8</v>
      </c>
      <c r="C15" s="718" t="str">
        <f>'Procesy - AS IS'!C29</f>
        <v>TERMMING, a.s. Bratislava, Kotolňa Železničná - kotle na spaľovanie biomasy, 5809-24751/33/2018/Fia, Kontrola stredného zdroja, 5809-24751/33/2018/Fia</v>
      </c>
      <c r="D15" s="779">
        <f>'Procesy - AS IS'!D31+'Procesy - ∆'!D106</f>
        <v>0</v>
      </c>
      <c r="E15" s="721">
        <f>'Procesy - AS IS'!E31+'Procesy - ∆'!E106</f>
        <v>0</v>
      </c>
      <c r="F15" s="721">
        <f>'Procesy - AS IS'!F31+'Procesy - ∆'!F106</f>
        <v>0</v>
      </c>
      <c r="G15" s="721">
        <f>'Procesy - AS IS'!G31+'Procesy - ∆'!G106</f>
        <v>5.6</v>
      </c>
      <c r="H15" s="721" t="s">
        <v>568</v>
      </c>
      <c r="I15" s="721" t="s">
        <v>568</v>
      </c>
      <c r="J15" s="721" t="s">
        <v>568</v>
      </c>
      <c r="K15" s="721" t="s">
        <v>568</v>
      </c>
      <c r="L15" s="721">
        <f>'Procesy - AS IS'!L31+'Procesy - ∆'!L106</f>
        <v>0.15</v>
      </c>
      <c r="M15" s="721">
        <f>'Procesy - AS IS'!M31+'Procesy - ∆'!M106</f>
        <v>2.1</v>
      </c>
      <c r="N15" s="721">
        <f>'Procesy - AS IS'!N31+'Procesy - ∆'!N106</f>
        <v>0</v>
      </c>
      <c r="O15" s="721" t="s">
        <v>572</v>
      </c>
      <c r="P15" s="721">
        <f>'Procesy - AS IS'!P31+'Procesy - ∆'!P106</f>
        <v>0.55000000000000004</v>
      </c>
      <c r="Q15" s="721">
        <f>'Procesy - AS IS'!Q31+'Procesy - ∆'!Q106</f>
        <v>0</v>
      </c>
      <c r="R15" s="721">
        <f>'Procesy - AS IS'!R31+'Procesy - ∆'!R106</f>
        <v>5.4545454545454533</v>
      </c>
      <c r="S15" s="721">
        <f>'Procesy - AS IS'!S31+'Procesy - ∆'!S106</f>
        <v>10.145454545454545</v>
      </c>
      <c r="T15" s="721">
        <f>'Procesy - AS IS'!T31+'Procesy - ∆'!T106</f>
        <v>1.6783216783216781</v>
      </c>
      <c r="U15" s="721">
        <f>'Procesy - AS IS'!U31+'Procesy - ∆'!U106</f>
        <v>3.6419580419580422</v>
      </c>
      <c r="V15" s="721">
        <f>'Procesy - AS IS'!V31+'Procesy - ∆'!V106</f>
        <v>0.25</v>
      </c>
      <c r="W15" s="721">
        <f>'Procesy - AS IS'!W31+'Procesy - ∆'!W106</f>
        <v>0.44055944055944057</v>
      </c>
      <c r="X15" s="721">
        <f>'Procesy - AS IS'!X31+'Procesy - ∆'!X106</f>
        <v>0</v>
      </c>
      <c r="Y15" s="721">
        <f>'Procesy - AS IS'!Y31+'Procesy - ∆'!Y106</f>
        <v>3.0209790209790208</v>
      </c>
      <c r="Z15" s="721">
        <f>'Procesy - AS IS'!Z31+'Procesy - ∆'!Z106</f>
        <v>2.937062937062937E-2</v>
      </c>
      <c r="AA15" s="721">
        <f>'Procesy - AS IS'!AA31+'Procesy - ∆'!AA106</f>
        <v>4.8951048951048952E-2</v>
      </c>
      <c r="AB15" s="721">
        <f>'Procesy - AS IS'!AB31+'Procesy - ∆'!AB106</f>
        <v>0.68531468531468542</v>
      </c>
      <c r="AC15" s="721">
        <f>'Procesy - AS IS'!AC31+'Procesy - ∆'!AC106</f>
        <v>1.1748251748251748</v>
      </c>
      <c r="AD15" s="824">
        <f t="shared" si="8"/>
        <v>34.97027972027972</v>
      </c>
      <c r="AE15" s="887">
        <f>'Procesy - AS IS'!AG31/2+'Procesy - ∆'!AF106</f>
        <v>113.47135429685547</v>
      </c>
      <c r="AF15" s="894">
        <f>'Procesy - AS IS'!AH31/2+'Procesy - ∆'!AG106</f>
        <v>39.675298705194216</v>
      </c>
      <c r="AG15" s="894">
        <f>'Procesy - AS IS'!AI31/2+'Procesy - ∆'!AH106</f>
        <v>35.707768834674795</v>
      </c>
      <c r="AH15" s="757">
        <f>'Procesy - AS IS'!AJ31/2+'Procesy - ∆'!AI106</f>
        <v>5.5545418187271904</v>
      </c>
      <c r="AJ15" s="232"/>
      <c r="AY15"/>
    </row>
    <row r="16" spans="1:52" ht="86.4" x14ac:dyDescent="0.3">
      <c r="A16" s="148">
        <f t="shared" ca="1" si="9"/>
        <v>9</v>
      </c>
      <c r="B16" s="234" t="str">
        <f ca="1">'Procesy - AS IS'!B32</f>
        <v>Meranie č. 9</v>
      </c>
      <c r="C16" s="718" t="str">
        <f>'Procesy - AS IS'!C32</f>
        <v>Nidec Global Appliance Slovakia, s.r.o., Zlaté Moravce - kontrola na základe vlastného kontrolného diskontinuálneho merania, nedodržanie EL, Kontrola stredného zdroja, 6423 - 23451/33/2018/Fia</v>
      </c>
      <c r="D16" s="779">
        <f>'Procesy - AS IS'!D34+'Procesy - ∆'!D120</f>
        <v>0</v>
      </c>
      <c r="E16" s="721">
        <f>'Procesy - AS IS'!E34+'Procesy - ∆'!E120</f>
        <v>0</v>
      </c>
      <c r="F16" s="721">
        <f>'Procesy - AS IS'!F34+'Procesy - ∆'!F120</f>
        <v>0</v>
      </c>
      <c r="G16" s="721">
        <f>'Procesy - AS IS'!G34+'Procesy - ∆'!G120</f>
        <v>5.6</v>
      </c>
      <c r="H16" s="721" t="s">
        <v>568</v>
      </c>
      <c r="I16" s="721" t="s">
        <v>568</v>
      </c>
      <c r="J16" s="721" t="s">
        <v>568</v>
      </c>
      <c r="K16" s="721" t="s">
        <v>568</v>
      </c>
      <c r="L16" s="721">
        <f>'Procesy - AS IS'!L34+'Procesy - ∆'!L120</f>
        <v>0.15</v>
      </c>
      <c r="M16" s="721">
        <f>'Procesy - AS IS'!M34+'Procesy - ∆'!M120</f>
        <v>2.1</v>
      </c>
      <c r="N16" s="721">
        <f>'Procesy - AS IS'!N34+'Procesy - ∆'!N120</f>
        <v>0</v>
      </c>
      <c r="O16" s="721" t="s">
        <v>572</v>
      </c>
      <c r="P16" s="721">
        <f>'Procesy - AS IS'!P34+'Procesy - ∆'!P120</f>
        <v>0.55000000000000004</v>
      </c>
      <c r="Q16" s="721">
        <f>'Procesy - AS IS'!Q34+'Procesy - ∆'!Q120</f>
        <v>0</v>
      </c>
      <c r="R16" s="721">
        <f>'Procesy - AS IS'!R34+'Procesy - ∆'!R120</f>
        <v>4.1958041958041949</v>
      </c>
      <c r="S16" s="721">
        <f>'Procesy - AS IS'!S34+'Procesy - ∆'!S120</f>
        <v>5.8531468531468533</v>
      </c>
      <c r="T16" s="721">
        <f>'Procesy - AS IS'!T34+'Procesy - ∆'!T120</f>
        <v>1.6783216783216781</v>
      </c>
      <c r="U16" s="721">
        <f>'Procesy - AS IS'!U34+'Procesy - ∆'!U120</f>
        <v>3.6419580419580422</v>
      </c>
      <c r="V16" s="721">
        <f>'Procesy - AS IS'!V34+'Procesy - ∆'!V120</f>
        <v>0.25</v>
      </c>
      <c r="W16" s="721">
        <f>'Procesy - AS IS'!W34+'Procesy - ∆'!W120</f>
        <v>0.44055944055944057</v>
      </c>
      <c r="X16" s="721">
        <f>'Procesy - AS IS'!X34+'Procesy - ∆'!X120</f>
        <v>0</v>
      </c>
      <c r="Y16" s="721">
        <f>'Procesy - AS IS'!Y34+'Procesy - ∆'!Y120</f>
        <v>3.0209790209790208</v>
      </c>
      <c r="Z16" s="721">
        <f>'Procesy - AS IS'!Z34+'Procesy - ∆'!Z120</f>
        <v>2.937062937062937E-2</v>
      </c>
      <c r="AA16" s="721">
        <f>'Procesy - AS IS'!AA34+'Procesy - ∆'!AA120</f>
        <v>4.8951048951048952E-2</v>
      </c>
      <c r="AB16" s="721">
        <f>'Procesy - AS IS'!AB34+'Procesy - ∆'!AB120</f>
        <v>0.58741258741258739</v>
      </c>
      <c r="AC16" s="721">
        <f>'Procesy - AS IS'!AC34+'Procesy - ∆'!AC120</f>
        <v>1.1748251748251748</v>
      </c>
      <c r="AD16" s="824">
        <f t="shared" si="8"/>
        <v>29.321328671328665</v>
      </c>
      <c r="AE16" s="887">
        <f>'Procesy - AS IS'!AG31/2+'Procesy - ∆'!AF120</f>
        <v>112.77200419752204</v>
      </c>
      <c r="AF16" s="894">
        <f>'Procesy - AS IS'!AH31/2+'Procesy - ∆'!AG120</f>
        <v>39.43077069843428</v>
      </c>
      <c r="AG16" s="894">
        <f>'Procesy - AS IS'!AI31/2+'Procesy - ∆'!AH120</f>
        <v>35.487693628590854</v>
      </c>
      <c r="AH16" s="757">
        <f>'Procesy - AS IS'!AJ31/2+'Procesy - ∆'!AI120</f>
        <v>5.5203078977807989</v>
      </c>
      <c r="AJ16" s="232"/>
      <c r="AY16"/>
    </row>
    <row r="17" spans="1:51" ht="31.8" customHeight="1" x14ac:dyDescent="0.3">
      <c r="A17" s="148">
        <f t="shared" ca="1" si="9"/>
        <v>10</v>
      </c>
      <c r="B17" s="234" t="str">
        <f ca="1">'Procesy - AS IS'!B35</f>
        <v>Meranie č. 10</v>
      </c>
      <c r="C17" s="718" t="str">
        <f>'Procesy - AS IS'!C35</f>
        <v>BIO-plus, s.r.o., Kontrola kvality palív, 1020/2018</v>
      </c>
      <c r="D17" s="779">
        <f>'Procesy - AS IS'!D37+'Procesy - ∆'!D134</f>
        <v>0</v>
      </c>
      <c r="E17" s="721">
        <f>'Procesy - AS IS'!E37+'Procesy - ∆'!E134</f>
        <v>0</v>
      </c>
      <c r="F17" s="721">
        <f>'Procesy - AS IS'!F37+'Procesy - ∆'!F134</f>
        <v>0</v>
      </c>
      <c r="G17" s="721">
        <f>'Procesy - AS IS'!G37+'Procesy - ∆'!G134</f>
        <v>5.6</v>
      </c>
      <c r="H17" s="721" t="s">
        <v>568</v>
      </c>
      <c r="I17" s="721" t="s">
        <v>568</v>
      </c>
      <c r="J17" s="721" t="s">
        <v>568</v>
      </c>
      <c r="K17" s="721" t="s">
        <v>568</v>
      </c>
      <c r="L17" s="721">
        <f>'Procesy - AS IS'!L37+'Procesy - ∆'!L134</f>
        <v>0.15</v>
      </c>
      <c r="M17" s="721">
        <f>'Procesy - AS IS'!M37+'Procesy - ∆'!M134</f>
        <v>2.1</v>
      </c>
      <c r="N17" s="721">
        <f>'Procesy - AS IS'!N37+'Procesy - ∆'!N134</f>
        <v>0</v>
      </c>
      <c r="O17" s="721" t="s">
        <v>572</v>
      </c>
      <c r="P17" s="721">
        <f>'Procesy - AS IS'!P37+'Procesy - ∆'!P134</f>
        <v>0.55000000000000004</v>
      </c>
      <c r="Q17" s="721">
        <f>'Procesy - AS IS'!Q37+'Procesy - ∆'!Q134</f>
        <v>0</v>
      </c>
      <c r="R17" s="721">
        <f>'Procesy - AS IS'!R37+'Procesy - ∆'!R134</f>
        <v>0.35087719298245612</v>
      </c>
      <c r="S17" s="721">
        <f>'Procesy - AS IS'!S37+'Procesy - ∆'!S134</f>
        <v>8.7368421052631575</v>
      </c>
      <c r="T17" s="721">
        <f>'Procesy - AS IS'!T37+'Procesy - ∆'!T134</f>
        <v>0.14035087719298245</v>
      </c>
      <c r="U17" s="721">
        <f>'Procesy - AS IS'!U37+'Procesy - ∆'!U134</f>
        <v>5.4362573099415208</v>
      </c>
      <c r="V17" s="721">
        <f>'Procesy - AS IS'!V37+'Procesy - ∆'!V134</f>
        <v>0.5</v>
      </c>
      <c r="W17" s="721">
        <f>'Procesy - AS IS'!W37+'Procesy - ∆'!W134</f>
        <v>3.2748538011695902E-2</v>
      </c>
      <c r="X17" s="721">
        <f>'Procesy - AS IS'!X37+'Procesy - ∆'!X134</f>
        <v>0</v>
      </c>
      <c r="Y17" s="721">
        <f>'Procesy - AS IS'!Y37+'Procesy - ∆'!Y134</f>
        <v>0.22456140350877191</v>
      </c>
      <c r="Z17" s="721">
        <f>'Procesy - AS IS'!Z37+'Procesy - ∆'!Z134</f>
        <v>2.8070175438596488E-2</v>
      </c>
      <c r="AA17" s="721">
        <f>'Procesy - AS IS'!AA37+'Procesy - ∆'!AA134</f>
        <v>4.6783625730994149E-2</v>
      </c>
      <c r="AB17" s="721">
        <f>'Procesy - AS IS'!AB37+'Procesy - ∆'!AB134</f>
        <v>0.22456140350877191</v>
      </c>
      <c r="AC17" s="721">
        <f>'Procesy - AS IS'!AC37+'Procesy - ∆'!AC134</f>
        <v>0.56140350877192979</v>
      </c>
      <c r="AD17" s="824">
        <f t="shared" si="8"/>
        <v>24.68245614035088</v>
      </c>
      <c r="AE17" s="887">
        <f>'Procesy - AS IS'!AG37+'Procesy - ∆'!AF134</f>
        <v>265.11745681995876</v>
      </c>
      <c r="AF17" s="894">
        <f>'Procesy - AS IS'!AH37+'Procesy - ∆'!AG134</f>
        <v>7.7519724216362214</v>
      </c>
      <c r="AG17" s="894">
        <f>'Procesy - AS IS'!AI37+'Procesy - ∆'!AH134</f>
        <v>6.2015779373089766</v>
      </c>
      <c r="AH17" s="757">
        <f>'Procesy - AS IS'!AJ37+'Procesy - ∆'!AI134</f>
        <v>6.2015779373089766</v>
      </c>
      <c r="AJ17" s="232"/>
      <c r="AY17"/>
    </row>
    <row r="18" spans="1:51" ht="60.6" customHeight="1" x14ac:dyDescent="0.3">
      <c r="A18" s="148">
        <f t="shared" ca="1" si="9"/>
        <v>11</v>
      </c>
      <c r="B18" s="234" t="str">
        <f ca="1">'Procesy - AS IS'!B38</f>
        <v>Meranie č. 11</v>
      </c>
      <c r="C18" s="718" t="str">
        <f>'Procesy - AS IS'!C38</f>
        <v>3U, s.r.o. Bratislava - výrobca regulovaných výrobkov, Kontrola kvality regulovaných výrobkov, 6765-25699/33/2018/Tom</v>
      </c>
      <c r="D18" s="779">
        <f>'Procesy - AS IS'!D40+'Procesy - ∆'!D148</f>
        <v>0</v>
      </c>
      <c r="E18" s="721">
        <f>'Procesy - AS IS'!E40+'Procesy - ∆'!E148</f>
        <v>0</v>
      </c>
      <c r="F18" s="721">
        <f>'Procesy - AS IS'!F40+'Procesy - ∆'!F148</f>
        <v>0</v>
      </c>
      <c r="G18" s="721">
        <f>'Procesy - AS IS'!G40+'Procesy - ∆'!G148</f>
        <v>5.6</v>
      </c>
      <c r="H18" s="721" t="s">
        <v>568</v>
      </c>
      <c r="I18" s="721" t="s">
        <v>568</v>
      </c>
      <c r="J18" s="721" t="s">
        <v>568</v>
      </c>
      <c r="K18" s="721" t="s">
        <v>568</v>
      </c>
      <c r="L18" s="721">
        <f>'Procesy - AS IS'!L40+'Procesy - ∆'!L148</f>
        <v>0.15</v>
      </c>
      <c r="M18" s="721">
        <f>'Procesy - AS IS'!M40+'Procesy - ∆'!M148</f>
        <v>2.1</v>
      </c>
      <c r="N18" s="721">
        <f>'Procesy - AS IS'!N40+'Procesy - ∆'!N148</f>
        <v>0</v>
      </c>
      <c r="O18" s="721" t="s">
        <v>572</v>
      </c>
      <c r="P18" s="721">
        <f>'Procesy - AS IS'!P40+'Procesy - ∆'!P148</f>
        <v>0.55000000000000004</v>
      </c>
      <c r="Q18" s="721">
        <f>'Procesy - AS IS'!Q40+'Procesy - ∆'!Q148</f>
        <v>0</v>
      </c>
      <c r="R18" s="721">
        <f>'Procesy - AS IS'!R40+'Procesy - ∆'!R148</f>
        <v>0</v>
      </c>
      <c r="S18" s="721">
        <f>'Procesy - AS IS'!S40+'Procesy - ∆'!S148</f>
        <v>4.8</v>
      </c>
      <c r="T18" s="721">
        <f>'Procesy - AS IS'!T40+'Procesy - ∆'!T148</f>
        <v>0</v>
      </c>
      <c r="U18" s="721">
        <f>'Procesy - AS IS'!U40+'Procesy - ∆'!U148</f>
        <v>5.6</v>
      </c>
      <c r="V18" s="721">
        <f>'Procesy - AS IS'!V40+'Procesy - ∆'!V148</f>
        <v>0.5</v>
      </c>
      <c r="W18" s="721">
        <f>'Procesy - AS IS'!W40+'Procesy - ∆'!W148</f>
        <v>0</v>
      </c>
      <c r="X18" s="721">
        <f>'Procesy - AS IS'!X40+'Procesy - ∆'!X148</f>
        <v>0</v>
      </c>
      <c r="Y18" s="721">
        <f>'Procesy - AS IS'!Y40+'Procesy - ∆'!Y148</f>
        <v>0</v>
      </c>
      <c r="Z18" s="721">
        <f>'Procesy - AS IS'!Z40+'Procesy - ∆'!Z148</f>
        <v>0</v>
      </c>
      <c r="AA18" s="721">
        <f>'Procesy - AS IS'!AA40+'Procesy - ∆'!AA148</f>
        <v>0</v>
      </c>
      <c r="AB18" s="721">
        <f>'Procesy - AS IS'!AB40+'Procesy - ∆'!AB148</f>
        <v>0</v>
      </c>
      <c r="AC18" s="721">
        <f>'Procesy - AS IS'!AC40+'Procesy - ∆'!AC148</f>
        <v>0</v>
      </c>
      <c r="AD18" s="824">
        <f t="shared" si="8"/>
        <v>19.299999999999997</v>
      </c>
      <c r="AE18" s="887">
        <f>'Procesy - AS IS'!AG40/2+'Procesy - ∆'!AF148</f>
        <v>27.279792746113991</v>
      </c>
      <c r="AF18" s="894">
        <f>'Procesy - AS IS'!AH40/2+'Procesy - ∆'!AG148</f>
        <v>0</v>
      </c>
      <c r="AG18" s="894">
        <f>'Procesy - AS IS'!AI40/2+'Procesy - ∆'!AH148</f>
        <v>0</v>
      </c>
      <c r="AH18" s="757">
        <f>'Procesy - AS IS'!AJ40/2+'Procesy - ∆'!AI148</f>
        <v>0</v>
      </c>
      <c r="AJ18" s="232"/>
      <c r="AY18"/>
    </row>
    <row r="19" spans="1:51" ht="60.6" customHeight="1" x14ac:dyDescent="0.3">
      <c r="A19" s="148">
        <f t="shared" ca="1" si="9"/>
        <v>12</v>
      </c>
      <c r="B19" s="234" t="str">
        <f ca="1">'Procesy - AS IS'!B41</f>
        <v>Meranie č. 12</v>
      </c>
      <c r="C19" s="718" t="str">
        <f>'Procesy - AS IS'!C41</f>
        <v>Color de Luxe, s.r.o. Bratislava, Kontrola kvality regulovaných výrobkov, 4083-9829/33/2018/Tom</v>
      </c>
      <c r="D19" s="779">
        <f>'Procesy - AS IS'!D43+'Procesy - ∆'!D162</f>
        <v>0</v>
      </c>
      <c r="E19" s="721">
        <f>'Procesy - AS IS'!E43+'Procesy - ∆'!E162</f>
        <v>0</v>
      </c>
      <c r="F19" s="721">
        <f>'Procesy - AS IS'!F43+'Procesy - ∆'!F162</f>
        <v>0</v>
      </c>
      <c r="G19" s="721">
        <f>'Procesy - AS IS'!G43+'Procesy - ∆'!G162</f>
        <v>5.6</v>
      </c>
      <c r="H19" s="721" t="s">
        <v>568</v>
      </c>
      <c r="I19" s="721" t="s">
        <v>568</v>
      </c>
      <c r="J19" s="721" t="s">
        <v>568</v>
      </c>
      <c r="K19" s="721" t="s">
        <v>568</v>
      </c>
      <c r="L19" s="721">
        <f>'Procesy - AS IS'!L43+'Procesy - ∆'!L162</f>
        <v>0.15</v>
      </c>
      <c r="M19" s="721">
        <f>'Procesy - AS IS'!M43+'Procesy - ∆'!M162</f>
        <v>2.1</v>
      </c>
      <c r="N19" s="721">
        <f>'Procesy - AS IS'!N43+'Procesy - ∆'!N162</f>
        <v>0</v>
      </c>
      <c r="O19" s="721" t="s">
        <v>572</v>
      </c>
      <c r="P19" s="721">
        <f>'Procesy - AS IS'!P43+'Procesy - ∆'!P162</f>
        <v>0.55000000000000004</v>
      </c>
      <c r="Q19" s="721">
        <f>'Procesy - AS IS'!Q43+'Procesy - ∆'!Q162</f>
        <v>0</v>
      </c>
      <c r="R19" s="721">
        <f>'Procesy - AS IS'!R43+'Procesy - ∆'!R162</f>
        <v>0</v>
      </c>
      <c r="S19" s="721">
        <f>'Procesy - AS IS'!S43+'Procesy - ∆'!S162</f>
        <v>4.8</v>
      </c>
      <c r="T19" s="721">
        <f>'Procesy - AS IS'!T43+'Procesy - ∆'!T162</f>
        <v>0</v>
      </c>
      <c r="U19" s="721">
        <f>'Procesy - AS IS'!U43+'Procesy - ∆'!U162</f>
        <v>5.6</v>
      </c>
      <c r="V19" s="721">
        <f>'Procesy - AS IS'!V43+'Procesy - ∆'!V162</f>
        <v>0.5</v>
      </c>
      <c r="W19" s="721">
        <f>'Procesy - AS IS'!W43+'Procesy - ∆'!W162</f>
        <v>0</v>
      </c>
      <c r="X19" s="721">
        <f>'Procesy - AS IS'!X43+'Procesy - ∆'!X162</f>
        <v>0</v>
      </c>
      <c r="Y19" s="721">
        <f>'Procesy - AS IS'!Y43+'Procesy - ∆'!Y162</f>
        <v>0</v>
      </c>
      <c r="Z19" s="721">
        <f>'Procesy - AS IS'!Z43+'Procesy - ∆'!Z162</f>
        <v>0</v>
      </c>
      <c r="AA19" s="721">
        <f>'Procesy - AS IS'!AA43+'Procesy - ∆'!AA162</f>
        <v>0</v>
      </c>
      <c r="AB19" s="721">
        <f>'Procesy - AS IS'!AB43+'Procesy - ∆'!AB162</f>
        <v>0</v>
      </c>
      <c r="AC19" s="721">
        <f>'Procesy - AS IS'!AC43+'Procesy - ∆'!AC162</f>
        <v>0</v>
      </c>
      <c r="AD19" s="824">
        <f t="shared" si="8"/>
        <v>19.299999999999997</v>
      </c>
      <c r="AE19" s="887">
        <f>'Procesy - AS IS'!AG40/2+'Procesy - ∆'!AF162</f>
        <v>27.279792746113991</v>
      </c>
      <c r="AF19" s="894">
        <f>'Procesy - AS IS'!AH40/2+'Procesy - ∆'!AG162</f>
        <v>0</v>
      </c>
      <c r="AG19" s="894">
        <f>'Procesy - AS IS'!AI40/2+'Procesy - ∆'!AH162</f>
        <v>0</v>
      </c>
      <c r="AH19" s="757">
        <f>'Procesy - AS IS'!AJ40/2+'Procesy - ∆'!AI162</f>
        <v>0</v>
      </c>
      <c r="AJ19" s="232"/>
      <c r="AY19"/>
    </row>
    <row r="20" spans="1:51" ht="70.95" customHeight="1" x14ac:dyDescent="0.3">
      <c r="A20" s="148">
        <f t="shared" ca="1" si="9"/>
        <v>13</v>
      </c>
      <c r="B20" s="736" t="str">
        <f ca="1">'Procesy - AS IS'!B44</f>
        <v>Meranie č. 13</v>
      </c>
      <c r="C20" s="739" t="str">
        <f>'Procesy - AS IS'!C44</f>
        <v>MAKOS, a.s. Bardejov, Kontrola emisie skleníkových plynov, kontrola: 4828-15367/53/2017/Kve
spravne konanie: 7490-33731/Ulb
odvolanie: 1110-2247/Šte</v>
      </c>
      <c r="D20" s="779">
        <f>'Procesy - AS IS'!D46+'Procesy - ∆'!D176</f>
        <v>0</v>
      </c>
      <c r="E20" s="721">
        <f>'Procesy - AS IS'!E46+'Procesy - ∆'!E176</f>
        <v>0</v>
      </c>
      <c r="F20" s="721">
        <f>'Procesy - AS IS'!F46+'Procesy - ∆'!F176</f>
        <v>0</v>
      </c>
      <c r="G20" s="721">
        <f>'Procesy - AS IS'!G46+'Procesy - ∆'!G176</f>
        <v>11.2</v>
      </c>
      <c r="H20" s="721" t="s">
        <v>568</v>
      </c>
      <c r="I20" s="721" t="s">
        <v>568</v>
      </c>
      <c r="J20" s="721" t="s">
        <v>568</v>
      </c>
      <c r="K20" s="721" t="s">
        <v>568</v>
      </c>
      <c r="L20" s="721">
        <f>'Procesy - AS IS'!L46+'Procesy - ∆'!L176</f>
        <v>0.15</v>
      </c>
      <c r="M20" s="721">
        <f>'Procesy - AS IS'!M46+'Procesy - ∆'!M176</f>
        <v>4.2</v>
      </c>
      <c r="N20" s="721">
        <f>'Procesy - AS IS'!N46+'Procesy - ∆'!N176</f>
        <v>0</v>
      </c>
      <c r="O20" s="721" t="s">
        <v>572</v>
      </c>
      <c r="P20" s="721">
        <f>'Procesy - AS IS'!P46+'Procesy - ∆'!P176</f>
        <v>0.55000000000000004</v>
      </c>
      <c r="Q20" s="721">
        <f>'Procesy - AS IS'!Q46+'Procesy - ∆'!Q176</f>
        <v>0</v>
      </c>
      <c r="R20" s="721">
        <f>'Procesy - AS IS'!R46+'Procesy - ∆'!R176</f>
        <v>0</v>
      </c>
      <c r="S20" s="721">
        <f>'Procesy - AS IS'!S46+'Procesy - ∆'!S176</f>
        <v>9</v>
      </c>
      <c r="T20" s="721">
        <f>'Procesy - AS IS'!T46+'Procesy - ∆'!T176</f>
        <v>0</v>
      </c>
      <c r="U20" s="721">
        <f>'Procesy - AS IS'!U46+'Procesy - ∆'!U176</f>
        <v>5.6</v>
      </c>
      <c r="V20" s="721">
        <f>'Procesy - AS IS'!V46+'Procesy - ∆'!V176</f>
        <v>0.25</v>
      </c>
      <c r="W20" s="721">
        <f>'Procesy - AS IS'!W46+'Procesy - ∆'!W176</f>
        <v>0</v>
      </c>
      <c r="X20" s="721">
        <f>'Procesy - AS IS'!X46+'Procesy - ∆'!X176</f>
        <v>0</v>
      </c>
      <c r="Y20" s="721">
        <f>'Procesy - AS IS'!Y46+'Procesy - ∆'!Y176</f>
        <v>0</v>
      </c>
      <c r="Z20" s="721">
        <f>'Procesy - AS IS'!Z46+'Procesy - ∆'!Z176</f>
        <v>0</v>
      </c>
      <c r="AA20" s="721">
        <f>'Procesy - AS IS'!AA46+'Procesy - ∆'!AA176</f>
        <v>0</v>
      </c>
      <c r="AB20" s="721">
        <f>'Procesy - AS IS'!AB46+'Procesy - ∆'!AB176</f>
        <v>0</v>
      </c>
      <c r="AC20" s="721">
        <f>'Procesy - AS IS'!AC46+'Procesy - ∆'!AC176</f>
        <v>0</v>
      </c>
      <c r="AD20" s="824">
        <f t="shared" si="8"/>
        <v>30.950000000000003</v>
      </c>
      <c r="AE20" s="887">
        <f>'Procesy - AS IS'!AG46+'Procesy - ∆'!AF176</f>
        <v>69.483037156704356</v>
      </c>
      <c r="AF20" s="894">
        <f>'Procesy - AS IS'!AH46+'Procesy - ∆'!AG176</f>
        <v>0</v>
      </c>
      <c r="AG20" s="894">
        <f>'Procesy - AS IS'!AI46+'Procesy - ∆'!AH176</f>
        <v>0</v>
      </c>
      <c r="AH20" s="757">
        <f>'Procesy - AS IS'!AJ46+'Procesy - ∆'!AI176</f>
        <v>0</v>
      </c>
      <c r="AJ20" s="232"/>
      <c r="AY20"/>
    </row>
    <row r="21" spans="1:51" ht="15" thickBot="1" x14ac:dyDescent="0.35">
      <c r="A21" s="148"/>
      <c r="B21" s="811"/>
      <c r="C21" s="812" t="s">
        <v>601</v>
      </c>
      <c r="D21" s="813"/>
      <c r="E21" s="813"/>
      <c r="F21" s="813"/>
      <c r="G21" s="814"/>
      <c r="H21" s="814"/>
      <c r="I21" s="814"/>
      <c r="J21" s="814"/>
      <c r="K21" s="814"/>
      <c r="L21" s="814"/>
      <c r="M21" s="814"/>
      <c r="N21" s="814"/>
      <c r="O21" s="814"/>
      <c r="P21" s="814"/>
      <c r="Q21" s="814"/>
      <c r="R21" s="814"/>
      <c r="S21" s="814"/>
      <c r="T21" s="814"/>
      <c r="U21" s="814"/>
      <c r="V21" s="814"/>
      <c r="W21" s="814"/>
      <c r="X21" s="814"/>
      <c r="Y21" s="814"/>
      <c r="Z21" s="814"/>
      <c r="AA21" s="814"/>
      <c r="AB21" s="814"/>
      <c r="AC21" s="814"/>
      <c r="AD21" s="821"/>
      <c r="AE21" s="889">
        <f>'Procesy - AS IS'!AG47+'Procesy - ∆'!AF190</f>
        <v>153.28237802737294</v>
      </c>
      <c r="AF21" s="895">
        <f>'Procesy - AS IS'!AH47+'Procesy - ∆'!AG190</f>
        <v>53.504226292573577</v>
      </c>
      <c r="AG21" s="895">
        <f>'Procesy - AS IS'!AI47+'Procesy - ∆'!AH190</f>
        <v>47.719985612295353</v>
      </c>
      <c r="AH21" s="815">
        <f>'Procesy - AS IS'!AJ47+'Procesy - ∆'!AI190</f>
        <v>8.6763610204173371</v>
      </c>
      <c r="AJ21" s="232"/>
      <c r="AY21"/>
    </row>
    <row r="22" spans="1:51" x14ac:dyDescent="0.3">
      <c r="A22" s="148"/>
      <c r="B22" s="725" t="str">
        <f>'Procesy - AS IS'!B48</f>
        <v>Zdroj 3</v>
      </c>
      <c r="C22" s="726" t="str">
        <f>'Procesy - AS IS'!C48</f>
        <v>Inšpekcia odpadového hospodárstva</v>
      </c>
      <c r="D22" s="796">
        <f>D23*$AE23/($AE22-$AE30)+D24*$AE24/($AE22-$AE30)+D25*$AE25/($AE22-$AE30)+D26*$AE26/($AE22-$AE30)+D27*$AE27/($AE22-$AE30)+D28*$AE28/($AE22-$AE30)+D29*$AE29/($AE22-$AE30)</f>
        <v>0</v>
      </c>
      <c r="E22" s="719">
        <f t="shared" ref="E22:G22" si="10">E23*$AE23/($AE22-$AE30)+E24*$AE24/($AE22-$AE30)+E25*$AE25/($AE22-$AE30)+E26*$AE26/($AE22-$AE30)+E27*$AE27/($AE22-$AE30)+E28*$AE28/($AE22-$AE30)+E29*$AE29/($AE22-$AE30)</f>
        <v>0</v>
      </c>
      <c r="F22" s="719">
        <f t="shared" si="10"/>
        <v>0</v>
      </c>
      <c r="G22" s="729">
        <f t="shared" si="10"/>
        <v>6.9968195872678596</v>
      </c>
      <c r="H22" s="722"/>
      <c r="I22" s="722"/>
      <c r="J22" s="722"/>
      <c r="K22" s="722"/>
      <c r="L22" s="729">
        <f t="shared" ref="L22:N22" si="11">L23*$AE23/($AE22-$AE30)+L24*$AE24/($AE22-$AE30)+L25*$AE25/($AE22-$AE30)+L26*$AE26/($AE22-$AE30)+L27*$AE27/($AE22-$AE30)+L28*$AE28/($AE22-$AE30)+L29*$AE29/($AE22-$AE30)</f>
        <v>0.15238944551689362</v>
      </c>
      <c r="M22" s="729">
        <f t="shared" si="11"/>
        <v>1.582327253660053</v>
      </c>
      <c r="N22" s="729">
        <f t="shared" si="11"/>
        <v>0</v>
      </c>
      <c r="O22" s="719"/>
      <c r="P22" s="719">
        <f t="shared" ref="P22:AC22" si="12">P23*$AE23/($AE22-$AE30)+P24*$AE24/($AE22-$AE30)+P25*$AE25/($AE22-$AE30)+P26*$AE26/($AE22-$AE30)+P27*$AE27/($AE22-$AE30)+P28*$AE28/($AE22-$AE30)+P29*$AE29/($AE22-$AE30)</f>
        <v>6.0621853518626354</v>
      </c>
      <c r="Q22" s="719">
        <f t="shared" si="12"/>
        <v>0</v>
      </c>
      <c r="R22" s="719">
        <f t="shared" si="12"/>
        <v>9.2316894058670531</v>
      </c>
      <c r="S22" s="719">
        <f t="shared" si="12"/>
        <v>17.995216722451982</v>
      </c>
      <c r="T22" s="719">
        <f t="shared" si="12"/>
        <v>4.2666267485214053</v>
      </c>
      <c r="U22" s="719">
        <f t="shared" si="12"/>
        <v>2.5693556784512332</v>
      </c>
      <c r="V22" s="719">
        <f t="shared" si="12"/>
        <v>0.27550334789998321</v>
      </c>
      <c r="W22" s="719">
        <f t="shared" si="12"/>
        <v>0.13531631064367547</v>
      </c>
      <c r="X22" s="719">
        <f t="shared" si="12"/>
        <v>0</v>
      </c>
      <c r="Y22" s="719">
        <f t="shared" si="12"/>
        <v>1.8603619398184428</v>
      </c>
      <c r="Z22" s="719">
        <f t="shared" si="12"/>
        <v>1.1755185994800306E-2</v>
      </c>
      <c r="AA22" s="719">
        <f t="shared" si="12"/>
        <v>1.6267390606010585E-2</v>
      </c>
      <c r="AB22" s="719">
        <f t="shared" si="12"/>
        <v>0.23718920938864665</v>
      </c>
      <c r="AC22" s="719">
        <f t="shared" si="12"/>
        <v>0.6254673502394551</v>
      </c>
      <c r="AD22" s="822">
        <f>SUM(AD23:AD29)</f>
        <v>415.04701202669969</v>
      </c>
      <c r="AE22" s="888">
        <f>SUM(AE23:AE30)</f>
        <v>769.18738694912849</v>
      </c>
      <c r="AF22" s="836">
        <f>SUM(AF23:AF30)</f>
        <v>205.19084604590677</v>
      </c>
      <c r="AG22" s="894">
        <v>175</v>
      </c>
      <c r="AH22" s="758">
        <v>19</v>
      </c>
      <c r="AJ22" s="232"/>
      <c r="AY22"/>
    </row>
    <row r="23" spans="1:51" ht="57" customHeight="1" x14ac:dyDescent="0.3">
      <c r="A23" s="148">
        <f ca="1">OFFSET(A23,-3,0)+1</f>
        <v>14</v>
      </c>
      <c r="B23" s="736" t="str">
        <f ca="1">'Procesy - AS IS'!B49</f>
        <v>Meranie č. 14</v>
      </c>
      <c r="C23" s="739" t="str">
        <f>'Procesy - AS IS'!C49</f>
        <v>Jozef Gregor, EKO TRANS, Pezinok, prevádzka Pod gaštanmi, Bratislava, Kontrola pôvodcov a držiteľov odpadov, 4087/2018</v>
      </c>
      <c r="D23" s="779">
        <f>'Procesy - AS IS'!D51+'Procesy - ∆'!D192</f>
        <v>0</v>
      </c>
      <c r="E23" s="721">
        <f>'Procesy - AS IS'!E51+'Procesy - ∆'!E192</f>
        <v>0</v>
      </c>
      <c r="F23" s="721">
        <f>'Procesy - AS IS'!F51+'Procesy - ∆'!F192</f>
        <v>0</v>
      </c>
      <c r="G23" s="721">
        <f>'Procesy - AS IS'!G51+'Procesy - ∆'!G192</f>
        <v>2.1</v>
      </c>
      <c r="H23" s="721" t="s">
        <v>568</v>
      </c>
      <c r="I23" s="721" t="s">
        <v>568</v>
      </c>
      <c r="J23" s="721" t="s">
        <v>568</v>
      </c>
      <c r="K23" s="721" t="s">
        <v>568</v>
      </c>
      <c r="L23" s="721">
        <f>'Procesy - AS IS'!L51+'Procesy - ∆'!L192</f>
        <v>0.3</v>
      </c>
      <c r="M23" s="721">
        <f>'Procesy - AS IS'!M51+'Procesy - ∆'!M192</f>
        <v>2.1</v>
      </c>
      <c r="N23" s="721">
        <f>'Procesy - AS IS'!N51+'Procesy - ∆'!N192</f>
        <v>0</v>
      </c>
      <c r="O23" s="721" t="s">
        <v>572</v>
      </c>
      <c r="P23" s="721">
        <f>'Procesy - AS IS'!P51+'Procesy - ∆'!P192</f>
        <v>4.4000000000000004</v>
      </c>
      <c r="Q23" s="721">
        <f>'Procesy - AS IS'!Q51+'Procesy - ∆'!Q192</f>
        <v>0</v>
      </c>
      <c r="R23" s="721">
        <f>'Procesy - AS IS'!R51+'Procesy - ∆'!R192</f>
        <v>5.5883298560043784</v>
      </c>
      <c r="S23" s="721">
        <f>'Procesy - AS IS'!S51+'Procesy - ∆'!S192</f>
        <v>12.411670143995622</v>
      </c>
      <c r="T23" s="721">
        <f>'Procesy - AS IS'!T51+'Procesy - ∆'!T192</f>
        <v>3.7255532373362521</v>
      </c>
      <c r="U23" s="721">
        <f>'Procesy - AS IS'!U51+'Procesy - ∆'!U192</f>
        <v>0.48267606115538531</v>
      </c>
      <c r="V23" s="721">
        <f>'Procesy - AS IS'!V51+'Procesy - ∆'!V192</f>
        <v>0.25</v>
      </c>
      <c r="W23" s="721">
        <f>'Procesy - AS IS'!W51+'Procesy - ∆'!W192</f>
        <v>0.19881656804733727</v>
      </c>
      <c r="X23" s="721">
        <f>'Procesy - AS IS'!X51+'Procesy - ∆'!X192</f>
        <v>0</v>
      </c>
      <c r="Y23" s="721">
        <f>'Procesy - AS IS'!Y51+'Procesy - ∆'!Y192</f>
        <v>2.2721893491124261</v>
      </c>
      <c r="Z23" s="721">
        <f>'Procesy - AS IS'!Z51+'Procesy - ∆'!Z192</f>
        <v>2.2189349112426034E-2</v>
      </c>
      <c r="AA23" s="721">
        <f>'Procesy - AS IS'!AA51+'Procesy - ∆'!AA192</f>
        <v>2.9585798816568046E-2</v>
      </c>
      <c r="AB23" s="721">
        <f>'Procesy - AS IS'!AB51+'Procesy - ∆'!AB192</f>
        <v>0.33136094674556216</v>
      </c>
      <c r="AC23" s="721">
        <f>'Procesy - AS IS'!AC51+'Procesy - ∆'!AC192</f>
        <v>0.88757396449704129</v>
      </c>
      <c r="AD23" s="824">
        <f t="shared" ref="AD23:AD29" si="13">SUM(D23:AC23)</f>
        <v>35.099945274823</v>
      </c>
      <c r="AE23" s="887">
        <f>'Procesy - AS IS'!AG51/2+'Procesy - ∆'!AF192</f>
        <v>119.68712565791391</v>
      </c>
      <c r="AF23" s="894">
        <f>'Procesy - AS IS'!AH51/2+'Procesy - ∆'!AG192</f>
        <v>37.158396538525999</v>
      </c>
      <c r="AG23" s="894">
        <f>'Procesy - AS IS'!AI51/2+'Procesy - ∆'!AH192</f>
        <v>22.662651012149379</v>
      </c>
      <c r="AH23" s="757">
        <f>'Procesy - AS IS'!AJ51/2+'Procesy - ∆'!AI192</f>
        <v>3.5410392206483405</v>
      </c>
      <c r="AJ23" s="232"/>
      <c r="AY23"/>
    </row>
    <row r="24" spans="1:51" ht="55.95" customHeight="1" x14ac:dyDescent="0.3">
      <c r="A24" s="148">
        <f t="shared" ref="A24:A29" ca="1" si="14">OFFSET(A24,-1,0)+1</f>
        <v>15</v>
      </c>
      <c r="B24" s="234" t="str">
        <f ca="1">'Procesy - AS IS'!B52</f>
        <v>Meranie č. 15</v>
      </c>
      <c r="C24" s="718" t="str">
        <f>'Procesy - AS IS'!C52</f>
        <v>CARS Prešov, s.r.o., Prešov, prevádzka Strojnícka 19, Prešov, Kontrola pôvodcov a držiteľov odpadov, 8404/2017</v>
      </c>
      <c r="D24" s="779">
        <f>'Procesy - AS IS'!D54+'Procesy - ∆'!D206</f>
        <v>0</v>
      </c>
      <c r="E24" s="721">
        <f>'Procesy - AS IS'!E54+'Procesy - ∆'!E206</f>
        <v>0</v>
      </c>
      <c r="F24" s="721">
        <f>'Procesy - AS IS'!F54+'Procesy - ∆'!F206</f>
        <v>0</v>
      </c>
      <c r="G24" s="721">
        <f>'Procesy - AS IS'!G54+'Procesy - ∆'!G206</f>
        <v>2.1</v>
      </c>
      <c r="H24" s="721" t="s">
        <v>568</v>
      </c>
      <c r="I24" s="721" t="s">
        <v>568</v>
      </c>
      <c r="J24" s="721" t="s">
        <v>568</v>
      </c>
      <c r="K24" s="721" t="s">
        <v>568</v>
      </c>
      <c r="L24" s="721">
        <f>'Procesy - AS IS'!L54+'Procesy - ∆'!L206</f>
        <v>0</v>
      </c>
      <c r="M24" s="721">
        <f>'Procesy - AS IS'!M54+'Procesy - ∆'!M206</f>
        <v>0.52500000000000002</v>
      </c>
      <c r="N24" s="721">
        <f>'Procesy - AS IS'!N54+'Procesy - ∆'!N206</f>
        <v>0</v>
      </c>
      <c r="O24" s="721" t="s">
        <v>572</v>
      </c>
      <c r="P24" s="721">
        <f>'Procesy - AS IS'!P54+'Procesy - ∆'!P206</f>
        <v>1.1000000000000001</v>
      </c>
      <c r="Q24" s="721">
        <f>'Procesy - AS IS'!Q54+'Procesy - ∆'!Q206</f>
        <v>0</v>
      </c>
      <c r="R24" s="721">
        <f>'Procesy - AS IS'!R54+'Procesy - ∆'!R206</f>
        <v>3.7255532373362521</v>
      </c>
      <c r="S24" s="721">
        <f>'Procesy - AS IS'!S54+'Procesy - ∆'!S206</f>
        <v>8.2744467626637483</v>
      </c>
      <c r="T24" s="721">
        <f>'Procesy - AS IS'!T54+'Procesy - ∆'!T206</f>
        <v>3.7255532373362521</v>
      </c>
      <c r="U24" s="721">
        <f>'Procesy - AS IS'!U54+'Procesy - ∆'!U206</f>
        <v>0.48267606115538531</v>
      </c>
      <c r="V24" s="721">
        <f>'Procesy - AS IS'!V54+'Procesy - ∆'!V206</f>
        <v>0.25</v>
      </c>
      <c r="W24" s="721">
        <f>'Procesy - AS IS'!W54+'Procesy - ∆'!W206</f>
        <v>0.19881656804733727</v>
      </c>
      <c r="X24" s="721">
        <f>'Procesy - AS IS'!X54+'Procesy - ∆'!X206</f>
        <v>0</v>
      </c>
      <c r="Y24" s="721">
        <f>'Procesy - AS IS'!Y54+'Procesy - ∆'!Y206</f>
        <v>2.2721893491124261</v>
      </c>
      <c r="Z24" s="721">
        <f>'Procesy - AS IS'!Z54+'Procesy - ∆'!Z206</f>
        <v>1.1094674556213017E-2</v>
      </c>
      <c r="AA24" s="721">
        <f>'Procesy - AS IS'!AA54+'Procesy - ∆'!AA206</f>
        <v>1.4792899408284023E-2</v>
      </c>
      <c r="AB24" s="721">
        <f>'Procesy - AS IS'!AB54+'Procesy - ∆'!AB206</f>
        <v>0.33136094674556216</v>
      </c>
      <c r="AC24" s="721">
        <f>'Procesy - AS IS'!AC54+'Procesy - ∆'!AC206</f>
        <v>0.88757396449704129</v>
      </c>
      <c r="AD24" s="824">
        <f t="shared" si="13"/>
        <v>23.899057700858503</v>
      </c>
      <c r="AE24" s="887">
        <f>'Procesy - AS IS'!AG51/2+'Procesy - ∆'!AF206</f>
        <v>116.40151655827462</v>
      </c>
      <c r="AF24" s="894">
        <f>'Procesy - AS IS'!AH51/2+'Procesy - ∆'!AG206</f>
        <v>36.138337237044119</v>
      </c>
      <c r="AG24" s="894">
        <f>'Procesy - AS IS'!AI51/2+'Procesy - ∆'!AH206</f>
        <v>22.040523845353775</v>
      </c>
      <c r="AH24" s="757">
        <f>'Procesy - AS IS'!AJ51/2+'Procesy - ∆'!AI206</f>
        <v>3.4438318508365273</v>
      </c>
      <c r="AJ24" s="232"/>
      <c r="AY24"/>
    </row>
    <row r="25" spans="1:51" ht="55.2" customHeight="1" x14ac:dyDescent="0.3">
      <c r="A25" s="148">
        <f t="shared" ca="1" si="14"/>
        <v>16</v>
      </c>
      <c r="B25" s="234" t="str">
        <f ca="1">'Procesy - AS IS'!B55</f>
        <v>Meranie č. 16</v>
      </c>
      <c r="C25" s="718" t="str">
        <f>'Procesy - AS IS'!C55</f>
        <v>Alfafin Plus, s.r.o., prevádzka Lehnice, Kontrola prevádzkovateľov zariadení na zber odpadov, 5566/2018
8159/2018</v>
      </c>
      <c r="D25" s="779">
        <f>'Procesy - AS IS'!D57+'Procesy - ∆'!D220</f>
        <v>0</v>
      </c>
      <c r="E25" s="721">
        <f>'Procesy - AS IS'!E57+'Procesy - ∆'!E220</f>
        <v>0</v>
      </c>
      <c r="F25" s="721">
        <f>'Procesy - AS IS'!F57+'Procesy - ∆'!F220</f>
        <v>0</v>
      </c>
      <c r="G25" s="721">
        <f>'Procesy - AS IS'!G57+'Procesy - ∆'!G220</f>
        <v>2.1</v>
      </c>
      <c r="H25" s="721" t="s">
        <v>568</v>
      </c>
      <c r="I25" s="721" t="s">
        <v>568</v>
      </c>
      <c r="J25" s="721" t="s">
        <v>568</v>
      </c>
      <c r="K25" s="721" t="s">
        <v>568</v>
      </c>
      <c r="L25" s="721">
        <f>'Procesy - AS IS'!L57+'Procesy - ∆'!L220</f>
        <v>0</v>
      </c>
      <c r="M25" s="721">
        <f>'Procesy - AS IS'!M57+'Procesy - ∆'!M220</f>
        <v>0</v>
      </c>
      <c r="N25" s="721">
        <f>'Procesy - AS IS'!N57+'Procesy - ∆'!N220</f>
        <v>0</v>
      </c>
      <c r="O25" s="721" t="s">
        <v>572</v>
      </c>
      <c r="P25" s="721">
        <f>'Procesy - AS IS'!P57+'Procesy - ∆'!P220</f>
        <v>1.1000000000000001</v>
      </c>
      <c r="Q25" s="721">
        <f>'Procesy - AS IS'!Q57+'Procesy - ∆'!Q220</f>
        <v>0</v>
      </c>
      <c r="R25" s="721">
        <f>'Procesy - AS IS'!R57+'Procesy - ∆'!R220</f>
        <v>4.6643545279383432</v>
      </c>
      <c r="S25" s="721">
        <f>'Procesy - AS IS'!S57+'Procesy - ∆'!S220</f>
        <v>7.3356454720616568</v>
      </c>
      <c r="T25" s="721">
        <f>'Procesy - AS IS'!T57+'Procesy - ∆'!T220</f>
        <v>4.6643545279383432</v>
      </c>
      <c r="U25" s="721">
        <f>'Procesy - AS IS'!U57+'Procesy - ∆'!U220</f>
        <v>0.42791265253693</v>
      </c>
      <c r="V25" s="721">
        <f>'Procesy - AS IS'!V57+'Procesy - ∆'!V220</f>
        <v>0.25</v>
      </c>
      <c r="W25" s="721">
        <f>'Procesy - AS IS'!W57+'Procesy - ∆'!W220</f>
        <v>0.25666666666666665</v>
      </c>
      <c r="X25" s="721">
        <f>'Procesy - AS IS'!X57+'Procesy - ∆'!X220</f>
        <v>0</v>
      </c>
      <c r="Y25" s="721">
        <f>'Procesy - AS IS'!Y57+'Procesy - ∆'!Y220</f>
        <v>2.9333333333333331</v>
      </c>
      <c r="Z25" s="721">
        <f>'Procesy - AS IS'!Z57+'Procesy - ∆'!Z220</f>
        <v>1.6666666666666666E-2</v>
      </c>
      <c r="AA25" s="721">
        <f>'Procesy - AS IS'!AA57+'Procesy - ∆'!AA220</f>
        <v>5.5555555555555558E-3</v>
      </c>
      <c r="AB25" s="721">
        <f>'Procesy - AS IS'!AB57+'Procesy - ∆'!AB220</f>
        <v>0.26666666666666666</v>
      </c>
      <c r="AC25" s="721">
        <f>'Procesy - AS IS'!AC57+'Procesy - ∆'!AC220</f>
        <v>0.66666666666666674</v>
      </c>
      <c r="AD25" s="824">
        <f t="shared" si="13"/>
        <v>24.687822736030828</v>
      </c>
      <c r="AE25" s="887">
        <f>'Procesy - AS IS'!AG57+'Procesy - ∆'!AF220</f>
        <v>61.766076275776591</v>
      </c>
      <c r="AF25" s="894">
        <f>'Procesy - AS IS'!AH57+'Procesy - ∆'!AG220</f>
        <v>24.0082397958253</v>
      </c>
      <c r="AG25" s="894">
        <f>'Procesy - AS IS'!AI57+'Procesy - ∆'!AH220</f>
        <v>15.098374200745388</v>
      </c>
      <c r="AH25" s="757">
        <f>'Procesy - AS IS'!AJ57+'Procesy - ∆'!AI220</f>
        <v>1.3725794727950353</v>
      </c>
      <c r="AJ25" s="232"/>
      <c r="AY25"/>
    </row>
    <row r="26" spans="1:51" ht="55.2" customHeight="1" x14ac:dyDescent="0.3">
      <c r="A26" s="148">
        <f t="shared" ca="1" si="14"/>
        <v>17</v>
      </c>
      <c r="B26" s="234" t="str">
        <f ca="1">'Procesy - AS IS'!B58</f>
        <v>Meranie č. 17</v>
      </c>
      <c r="C26" s="718" t="str">
        <f>'Procesy - AS IS'!C58</f>
        <v>BIOPRODUKT Dunajský Klátov, s.r.o., Dunajský Klátov, Kontrola prevádzkovateľov zariadení na zhodnocovanie odpadov, 3572/2018
8182/2018</v>
      </c>
      <c r="D26" s="779">
        <f>'Procesy - AS IS'!D60+'Procesy - ∆'!D234</f>
        <v>0</v>
      </c>
      <c r="E26" s="721">
        <f>'Procesy - AS IS'!E60+'Procesy - ∆'!E234</f>
        <v>0</v>
      </c>
      <c r="F26" s="721">
        <f>'Procesy - AS IS'!F60+'Procesy - ∆'!F234</f>
        <v>0</v>
      </c>
      <c r="G26" s="721">
        <f>'Procesy - AS IS'!G60+'Procesy - ∆'!G234</f>
        <v>2.1</v>
      </c>
      <c r="H26" s="721" t="s">
        <v>568</v>
      </c>
      <c r="I26" s="721" t="s">
        <v>568</v>
      </c>
      <c r="J26" s="721" t="s">
        <v>568</v>
      </c>
      <c r="K26" s="721" t="s">
        <v>568</v>
      </c>
      <c r="L26" s="721">
        <f>'Procesy - AS IS'!L60+'Procesy - ∆'!L234</f>
        <v>0</v>
      </c>
      <c r="M26" s="721">
        <f>'Procesy - AS IS'!M60+'Procesy - ∆'!M234</f>
        <v>1.05</v>
      </c>
      <c r="N26" s="721">
        <f>'Procesy - AS IS'!N60+'Procesy - ∆'!N234</f>
        <v>0</v>
      </c>
      <c r="O26" s="721" t="s">
        <v>572</v>
      </c>
      <c r="P26" s="721">
        <f>'Procesy - AS IS'!P60+'Procesy - ∆'!P234</f>
        <v>1.1000000000000001</v>
      </c>
      <c r="Q26" s="721">
        <f>'Procesy - AS IS'!Q60+'Procesy - ∆'!Q234</f>
        <v>0</v>
      </c>
      <c r="R26" s="721">
        <f>'Procesy - AS IS'!R60+'Procesy - ∆'!R234</f>
        <v>3.4976878612716766</v>
      </c>
      <c r="S26" s="721">
        <f>'Procesy - AS IS'!S60+'Procesy - ∆'!S234</f>
        <v>6.9081286127167632</v>
      </c>
      <c r="T26" s="721">
        <f>'Procesy - AS IS'!T60+'Procesy - ∆'!T234</f>
        <v>0</v>
      </c>
      <c r="U26" s="721">
        <f>'Procesy - AS IS'!U60+'Procesy - ∆'!U234</f>
        <v>0.49596820809248554</v>
      </c>
      <c r="V26" s="721">
        <f>'Procesy - AS IS'!V60+'Procesy - ∆'!V234</f>
        <v>0.25</v>
      </c>
      <c r="W26" s="721">
        <f>'Procesy - AS IS'!W60+'Procesy - ∆'!W234</f>
        <v>0.18374999999999997</v>
      </c>
      <c r="X26" s="721">
        <f>'Procesy - AS IS'!X60+'Procesy - ∆'!X234</f>
        <v>0</v>
      </c>
      <c r="Y26" s="721">
        <f>'Procesy - AS IS'!Y60+'Procesy - ∆'!Y234</f>
        <v>2.0999999999999996</v>
      </c>
      <c r="Z26" s="721">
        <f>'Procesy - AS IS'!Z60+'Procesy - ∆'!Z234</f>
        <v>1.8750000000000003E-2</v>
      </c>
      <c r="AA26" s="721">
        <f>'Procesy - AS IS'!AA60+'Procesy - ∆'!AA234</f>
        <v>2.5000000000000001E-2</v>
      </c>
      <c r="AB26" s="721">
        <f>'Procesy - AS IS'!AB60+'Procesy - ∆'!AB234</f>
        <v>0.30000000000000004</v>
      </c>
      <c r="AC26" s="721">
        <f>'Procesy - AS IS'!AC60+'Procesy - ∆'!AC234</f>
        <v>0.75</v>
      </c>
      <c r="AD26" s="824">
        <f t="shared" si="13"/>
        <v>18.779284682080927</v>
      </c>
      <c r="AE26" s="887">
        <f>'Procesy - AS IS'!AG60+'Procesy - ∆'!AF234</f>
        <v>55.636726146023193</v>
      </c>
      <c r="AF26" s="894">
        <f>'Procesy - AS IS'!AH60+'Procesy - ∆'!AG234</f>
        <v>16.216658473486817</v>
      </c>
      <c r="AG26" s="894">
        <f>'Procesy - AS IS'!AI60+'Procesy - ∆'!AH234</f>
        <v>9.7364270755540581</v>
      </c>
      <c r="AH26" s="757">
        <f>'Procesy - AS IS'!AJ60+'Procesy - ∆'!AI234</f>
        <v>1.3909181536505799</v>
      </c>
      <c r="AJ26" s="232"/>
      <c r="AY26"/>
    </row>
    <row r="27" spans="1:51" ht="45" customHeight="1" x14ac:dyDescent="0.3">
      <c r="A27" s="148">
        <f t="shared" ca="1" si="14"/>
        <v>18</v>
      </c>
      <c r="B27" s="234" t="str">
        <f ca="1">'Procesy - AS IS'!B61</f>
        <v>Meranie č. 18</v>
      </c>
      <c r="C27" s="718" t="str">
        <f>'Procesy - AS IS'!C61</f>
        <v>SLOVMAS, a.s., Bratislava, Kontrola povinností rozšírenej zodpovednosti výrobcov, 3970/2017</v>
      </c>
      <c r="D27" s="779">
        <f>'Procesy - AS IS'!D63+'Procesy - ∆'!D248</f>
        <v>0</v>
      </c>
      <c r="E27" s="721">
        <f>'Procesy - AS IS'!E63+'Procesy - ∆'!E248</f>
        <v>0</v>
      </c>
      <c r="F27" s="721">
        <f>'Procesy - AS IS'!F63+'Procesy - ∆'!F248</f>
        <v>0</v>
      </c>
      <c r="G27" s="721">
        <f>'Procesy - AS IS'!G63+'Procesy - ∆'!G248</f>
        <v>16.8</v>
      </c>
      <c r="H27" s="721" t="s">
        <v>568</v>
      </c>
      <c r="I27" s="721" t="s">
        <v>568</v>
      </c>
      <c r="J27" s="721" t="s">
        <v>568</v>
      </c>
      <c r="K27" s="721" t="s">
        <v>568</v>
      </c>
      <c r="L27" s="721">
        <f>'Procesy - AS IS'!L63+'Procesy - ∆'!L248</f>
        <v>0.3</v>
      </c>
      <c r="M27" s="721">
        <f>'Procesy - AS IS'!M63+'Procesy - ∆'!M248</f>
        <v>0</v>
      </c>
      <c r="N27" s="721">
        <f>'Procesy - AS IS'!N63+'Procesy - ∆'!N248</f>
        <v>0</v>
      </c>
      <c r="O27" s="721" t="s">
        <v>572</v>
      </c>
      <c r="P27" s="721">
        <f>'Procesy - AS IS'!P63+'Procesy - ∆'!P248</f>
        <v>22</v>
      </c>
      <c r="Q27" s="721">
        <f>'Procesy - AS IS'!Q63+'Procesy - ∆'!Q248</f>
        <v>0</v>
      </c>
      <c r="R27" s="721">
        <f>'Procesy - AS IS'!R63+'Procesy - ∆'!R248</f>
        <v>21.035085360935607</v>
      </c>
      <c r="S27" s="721">
        <f>'Procesy - AS IS'!S63+'Procesy - ∆'!S248</f>
        <v>38.964914639064389</v>
      </c>
      <c r="T27" s="721">
        <f>'Procesy - AS IS'!T63+'Procesy - ∆'!T248</f>
        <v>6.3105256082806829</v>
      </c>
      <c r="U27" s="721">
        <f>'Procesy - AS IS'!U63+'Procesy - ∆'!U248</f>
        <v>1.3637720123672539</v>
      </c>
      <c r="V27" s="721">
        <f>'Procesy - AS IS'!V63+'Procesy - ∆'!V248</f>
        <v>0.25</v>
      </c>
      <c r="W27" s="721">
        <f>'Procesy - AS IS'!W63+'Procesy - ∆'!W248</f>
        <v>0</v>
      </c>
      <c r="X27" s="721">
        <f>'Procesy - AS IS'!X63+'Procesy - ∆'!X248</f>
        <v>0</v>
      </c>
      <c r="Y27" s="721">
        <f>'Procesy - AS IS'!Y63+'Procesy - ∆'!Y248</f>
        <v>0</v>
      </c>
      <c r="Z27" s="721">
        <f>'Procesy - AS IS'!Z63+'Procesy - ∆'!Z248</f>
        <v>0</v>
      </c>
      <c r="AA27" s="721">
        <f>'Procesy - AS IS'!AA63+'Procesy - ∆'!AA248</f>
        <v>0</v>
      </c>
      <c r="AB27" s="721">
        <f>'Procesy - AS IS'!AB63+'Procesy - ∆'!AB248</f>
        <v>0</v>
      </c>
      <c r="AC27" s="721">
        <f>'Procesy - AS IS'!AC63+'Procesy - ∆'!AC248</f>
        <v>0</v>
      </c>
      <c r="AD27" s="824">
        <f t="shared" si="13"/>
        <v>107.02429762064793</v>
      </c>
      <c r="AE27" s="887">
        <f>'Procesy - AS IS'!AG63/2+'Procesy - ∆'!AF248</f>
        <v>62.421134108832625</v>
      </c>
      <c r="AF27" s="894">
        <f>'Procesy - AS IS'!AH63/2+'Procesy - ∆'!AG248</f>
        <v>21.883898071761724</v>
      </c>
      <c r="AG27" s="894">
        <f>'Procesy - AS IS'!AI63/2+'Procesy - ∆'!AH248</f>
        <v>13.064888534406828</v>
      </c>
      <c r="AH27" s="757">
        <f>'Procesy - AS IS'!AJ63/2+'Procesy - ∆'!AI248</f>
        <v>1.4516542816007587</v>
      </c>
      <c r="AJ27" s="232"/>
      <c r="AY27"/>
    </row>
    <row r="28" spans="1:51" ht="43.2" x14ac:dyDescent="0.3">
      <c r="A28" s="148">
        <f t="shared" ca="1" si="14"/>
        <v>19</v>
      </c>
      <c r="B28" s="234" t="str">
        <f ca="1">'Procesy - AS IS'!B64</f>
        <v>Meranie č. 19</v>
      </c>
      <c r="C28" s="718" t="str">
        <f>'Procesy - AS IS'!C64</f>
        <v>ENVI-PACK, a.s., Bratislava, Kontrola povinností rozšírenej zodpovednosti výrobcov, 7209/2017</v>
      </c>
      <c r="D28" s="779">
        <f>'Procesy - AS IS'!D66+'Procesy - ∆'!D262</f>
        <v>0</v>
      </c>
      <c r="E28" s="721">
        <f>'Procesy - AS IS'!E66+'Procesy - ∆'!E262</f>
        <v>0</v>
      </c>
      <c r="F28" s="721">
        <f>'Procesy - AS IS'!F66+'Procesy - ∆'!F262</f>
        <v>0</v>
      </c>
      <c r="G28" s="721">
        <f>'Procesy - AS IS'!G66+'Procesy - ∆'!G262</f>
        <v>16.8</v>
      </c>
      <c r="H28" s="721" t="s">
        <v>568</v>
      </c>
      <c r="I28" s="721" t="s">
        <v>568</v>
      </c>
      <c r="J28" s="721" t="s">
        <v>568</v>
      </c>
      <c r="K28" s="721" t="s">
        <v>568</v>
      </c>
      <c r="L28" s="721">
        <f>'Procesy - AS IS'!L66+'Procesy - ∆'!L262</f>
        <v>0.3</v>
      </c>
      <c r="M28" s="721">
        <f>'Procesy - AS IS'!M66+'Procesy - ∆'!M262</f>
        <v>8.4</v>
      </c>
      <c r="N28" s="721">
        <f>'Procesy - AS IS'!N66+'Procesy - ∆'!N262</f>
        <v>0</v>
      </c>
      <c r="O28" s="721" t="s">
        <v>572</v>
      </c>
      <c r="P28" s="721">
        <f>'Procesy - AS IS'!P66+'Procesy - ∆'!P262</f>
        <v>22</v>
      </c>
      <c r="Q28" s="721">
        <f>'Procesy - AS IS'!Q66+'Procesy - ∆'!Q262</f>
        <v>0</v>
      </c>
      <c r="R28" s="721">
        <f>'Procesy - AS IS'!R66+'Procesy - ∆'!R262</f>
        <v>31.552628041403409</v>
      </c>
      <c r="S28" s="721">
        <f>'Procesy - AS IS'!S66+'Procesy - ∆'!S262</f>
        <v>58.447371958596584</v>
      </c>
      <c r="T28" s="721">
        <f>'Procesy - AS IS'!T66+'Procesy - ∆'!T262</f>
        <v>10.517542680467804</v>
      </c>
      <c r="U28" s="721">
        <f>'Procesy - AS IS'!U66+'Procesy - ∆'!U262</f>
        <v>18.18362683156338</v>
      </c>
      <c r="V28" s="721">
        <f>'Procesy - AS IS'!V66+'Procesy - ∆'!V262</f>
        <v>0.5</v>
      </c>
      <c r="W28" s="721">
        <f>'Procesy - AS IS'!W66+'Procesy - ∆'!W262</f>
        <v>0</v>
      </c>
      <c r="X28" s="721">
        <f>'Procesy - AS IS'!X66+'Procesy - ∆'!X262</f>
        <v>0</v>
      </c>
      <c r="Y28" s="721">
        <f>'Procesy - AS IS'!Y66+'Procesy - ∆'!Y262</f>
        <v>0</v>
      </c>
      <c r="Z28" s="721">
        <f>'Procesy - AS IS'!Z66+'Procesy - ∆'!Z262</f>
        <v>0</v>
      </c>
      <c r="AA28" s="721">
        <f>'Procesy - AS IS'!AA66+'Procesy - ∆'!AA262</f>
        <v>0</v>
      </c>
      <c r="AB28" s="721">
        <f>'Procesy - AS IS'!AB66+'Procesy - ∆'!AB262</f>
        <v>0</v>
      </c>
      <c r="AC28" s="721">
        <f>'Procesy - AS IS'!AC66+'Procesy - ∆'!AC262</f>
        <v>0</v>
      </c>
      <c r="AD28" s="824">
        <f t="shared" si="13"/>
        <v>166.70116951203119</v>
      </c>
      <c r="AE28" s="887">
        <f>'Procesy - AS IS'!AG63/2+'Procesy - ∆'!AF262</f>
        <v>61.262317654363791</v>
      </c>
      <c r="AF28" s="894">
        <f>'Procesy - AS IS'!AH63/2+'Procesy - ∆'!AG262</f>
        <v>21.477634687804912</v>
      </c>
      <c r="AG28" s="894">
        <f>'Procesy - AS IS'!AI63/2+'Procesy - ∆'!AH262</f>
        <v>12.822345555564514</v>
      </c>
      <c r="AH28" s="757">
        <f>'Procesy - AS IS'!AJ63/2+'Procesy - ∆'!AI262</f>
        <v>1.4247050617293904</v>
      </c>
      <c r="AJ28" s="232"/>
      <c r="AY28"/>
    </row>
    <row r="29" spans="1:51" ht="84" customHeight="1" x14ac:dyDescent="0.3">
      <c r="A29" s="148">
        <f t="shared" ca="1" si="14"/>
        <v>20</v>
      </c>
      <c r="B29" s="736" t="str">
        <f ca="1">'Procesy - AS IS'!B67</f>
        <v>Meranie č. 20</v>
      </c>
      <c r="C29" s="739" t="str">
        <f>'Procesy - AS IS'!C67</f>
        <v>HANYX s.r.o. Lučenec, Podnet - subjekt vykonáva mobilný zber a prepravu komunálneho odpadu bez zmluvy s mestom (Kontrola obcí pri nakladaní s komunálnym odpadom), 8212-36652/44/2017/Kov</v>
      </c>
      <c r="D29" s="779">
        <f>'Procesy - AS IS'!D69+'Procesy - ∆'!D276</f>
        <v>0</v>
      </c>
      <c r="E29" s="721">
        <f>'Procesy - AS IS'!E69+'Procesy - ∆'!E276</f>
        <v>0</v>
      </c>
      <c r="F29" s="721">
        <f>'Procesy - AS IS'!F69+'Procesy - ∆'!F276</f>
        <v>0</v>
      </c>
      <c r="G29" s="721">
        <f>'Procesy - AS IS'!G69+'Procesy - ∆'!G276</f>
        <v>11.2</v>
      </c>
      <c r="H29" s="721" t="s">
        <v>568</v>
      </c>
      <c r="I29" s="721" t="s">
        <v>568</v>
      </c>
      <c r="J29" s="721" t="s">
        <v>568</v>
      </c>
      <c r="K29" s="721" t="s">
        <v>568</v>
      </c>
      <c r="L29" s="721">
        <f>'Procesy - AS IS'!L69+'Procesy - ∆'!L276</f>
        <v>0.15</v>
      </c>
      <c r="M29" s="721">
        <f>'Procesy - AS IS'!M69+'Procesy - ∆'!M276</f>
        <v>0.52500000000000002</v>
      </c>
      <c r="N29" s="721">
        <f>'Procesy - AS IS'!N69+'Procesy - ∆'!N276</f>
        <v>0</v>
      </c>
      <c r="O29" s="721" t="s">
        <v>572</v>
      </c>
      <c r="P29" s="721">
        <f>'Procesy - AS IS'!P69+'Procesy - ∆'!P276</f>
        <v>1.1000000000000001</v>
      </c>
      <c r="Q29" s="721">
        <f>'Procesy - AS IS'!Q69+'Procesy - ∆'!Q276</f>
        <v>0</v>
      </c>
      <c r="R29" s="721">
        <f>'Procesy - AS IS'!R69+'Procesy - ∆'!R276</f>
        <v>5.7774891212573873</v>
      </c>
      <c r="S29" s="721">
        <f>'Procesy - AS IS'!S69+'Procesy - ∆'!S276</f>
        <v>12.222510878742611</v>
      </c>
      <c r="T29" s="721">
        <f>'Procesy - AS IS'!T69+'Procesy - ∆'!T276</f>
        <v>2.8887445606286937</v>
      </c>
      <c r="U29" s="721">
        <f>'Procesy - AS IS'!U69+'Procesy - ∆'!U276</f>
        <v>1.4259596025199714</v>
      </c>
      <c r="V29" s="721">
        <f>'Procesy - AS IS'!V69+'Procesy - ∆'!V276</f>
        <v>0.25</v>
      </c>
      <c r="W29" s="721">
        <f>'Procesy - AS IS'!W69+'Procesy - ∆'!W276</f>
        <v>6.6853932584269665E-2</v>
      </c>
      <c r="X29" s="721">
        <f>'Procesy - AS IS'!X69+'Procesy - ∆'!X276</f>
        <v>0</v>
      </c>
      <c r="Y29" s="721">
        <f>'Procesy - AS IS'!Y69+'Procesy - ∆'!Y276</f>
        <v>2.292134831460674</v>
      </c>
      <c r="Z29" s="721">
        <f>'Procesy - AS IS'!Z69+'Procesy - ∆'!Z276</f>
        <v>8.4269662921348312E-3</v>
      </c>
      <c r="AA29" s="721">
        <f>'Procesy - AS IS'!AA69+'Procesy - ∆'!AA276</f>
        <v>2.247191011235955E-2</v>
      </c>
      <c r="AB29" s="721">
        <f>'Procesy - AS IS'!AB69+'Procesy - ∆'!AB276</f>
        <v>0.25168539325842698</v>
      </c>
      <c r="AC29" s="721">
        <f>'Procesy - AS IS'!AC69+'Procesy - ∆'!AC276</f>
        <v>0.6741573033707865</v>
      </c>
      <c r="AD29" s="824">
        <f t="shared" si="13"/>
        <v>38.855434500227311</v>
      </c>
      <c r="AE29" s="887">
        <f>'Procesy - AS IS'!AG69+'Procesy - ∆'!AF276</f>
        <v>123.3572170160113</v>
      </c>
      <c r="AF29" s="894">
        <f>'Procesy - AS IS'!AH69+'Procesy - ∆'!AG276</f>
        <v>39.594165518810669</v>
      </c>
      <c r="AG29" s="894">
        <f>'Procesy - AS IS'!AI69+'Procesy - ∆'!AH276</f>
        <v>23.562614486204406</v>
      </c>
      <c r="AH29" s="757">
        <f>'Procesy - AS IS'!AJ69+'Procesy - ∆'!AI276</f>
        <v>2.7720722924946362</v>
      </c>
      <c r="AJ29" s="232"/>
      <c r="AY29"/>
    </row>
    <row r="30" spans="1:51" ht="15" thickBot="1" x14ac:dyDescent="0.35">
      <c r="A30" s="148"/>
      <c r="B30" s="811"/>
      <c r="C30" s="812" t="s">
        <v>601</v>
      </c>
      <c r="D30" s="813"/>
      <c r="E30" s="813"/>
      <c r="F30" s="813"/>
      <c r="G30" s="814"/>
      <c r="H30" s="814"/>
      <c r="I30" s="814"/>
      <c r="J30" s="814"/>
      <c r="K30" s="814"/>
      <c r="L30" s="814"/>
      <c r="M30" s="814"/>
      <c r="N30" s="814"/>
      <c r="O30" s="814"/>
      <c r="P30" s="814"/>
      <c r="Q30" s="814"/>
      <c r="R30" s="814"/>
      <c r="S30" s="814"/>
      <c r="T30" s="814"/>
      <c r="U30" s="814"/>
      <c r="V30" s="814"/>
      <c r="W30" s="814"/>
      <c r="X30" s="814"/>
      <c r="Y30" s="814"/>
      <c r="Z30" s="814"/>
      <c r="AA30" s="814"/>
      <c r="AB30" s="814"/>
      <c r="AC30" s="814"/>
      <c r="AD30" s="821"/>
      <c r="AE30" s="889">
        <f>'Procesy - AS IS'!AG70+'Procesy - ∆'!AF290</f>
        <v>168.65527353193241</v>
      </c>
      <c r="AF30" s="895">
        <f>'Procesy - AS IS'!AH70+'Procesy - ∆'!AG290</f>
        <v>8.7135157226472231</v>
      </c>
      <c r="AG30" s="895">
        <f>'Procesy - AS IS'!AI70+'Procesy - ∆'!AH290</f>
        <v>5.2296208847110819</v>
      </c>
      <c r="AH30" s="815">
        <f>'Procesy - AS IS'!AJ70+'Procesy - ∆'!AI290</f>
        <v>2.5370261058888532</v>
      </c>
      <c r="AJ30" s="232"/>
      <c r="AY30"/>
    </row>
    <row r="31" spans="1:51" x14ac:dyDescent="0.3">
      <c r="A31" s="148"/>
      <c r="B31" s="725" t="str">
        <f>'Procesy - AS IS'!B71</f>
        <v>Zdroj 4</v>
      </c>
      <c r="C31" s="726" t="str">
        <f>'Procesy - AS IS'!C71</f>
        <v>Inšpekcia ochrany prírody a krajiny</v>
      </c>
      <c r="D31" s="796">
        <f t="shared" ref="D31:G31" si="15">D32*$AE32/($AE31-$AE36)+D33*$AE33/($AE31-$AE36)+D34*$AE34/($AE31-$AE36)+D35*$AE35/($AE31-$AE36)</f>
        <v>0</v>
      </c>
      <c r="E31" s="719">
        <f t="shared" si="15"/>
        <v>0</v>
      </c>
      <c r="F31" s="719">
        <f t="shared" si="15"/>
        <v>0</v>
      </c>
      <c r="G31" s="729">
        <f t="shared" si="15"/>
        <v>2.5191696656843456</v>
      </c>
      <c r="H31" s="722"/>
      <c r="I31" s="722"/>
      <c r="J31" s="722"/>
      <c r="K31" s="722"/>
      <c r="L31" s="729">
        <f t="shared" ref="L31:N31" si="16">L32*$AE32/($AE31-$AE36)+L33*$AE33/($AE31-$AE36)+L34*$AE34/($AE31-$AE36)+L35*$AE35/($AE31-$AE36)</f>
        <v>0.14998852198605062</v>
      </c>
      <c r="M31" s="729">
        <f t="shared" si="16"/>
        <v>0</v>
      </c>
      <c r="N31" s="719">
        <f t="shared" si="16"/>
        <v>0</v>
      </c>
      <c r="O31" s="719"/>
      <c r="P31" s="719">
        <f t="shared" ref="P31:AB31" si="17">P32*$AE32/($AE31-$AE36)+P33*$AE33/($AE31-$AE36)+P34*$AE34/($AE31-$AE36)+P35*$AE35/($AE31-$AE36)</f>
        <v>1.3198973354017294</v>
      </c>
      <c r="Q31" s="719">
        <f t="shared" si="17"/>
        <v>0</v>
      </c>
      <c r="R31" s="719">
        <f t="shared" si="17"/>
        <v>9.4395477183698233</v>
      </c>
      <c r="S31" s="719">
        <f t="shared" si="17"/>
        <v>1.8415151488710593</v>
      </c>
      <c r="T31" s="719">
        <f t="shared" si="17"/>
        <v>3.9688931917535824</v>
      </c>
      <c r="U31" s="719">
        <f t="shared" si="17"/>
        <v>0.48476371587257627</v>
      </c>
      <c r="V31" s="719">
        <f t="shared" si="17"/>
        <v>0.37543679311017059</v>
      </c>
      <c r="W31" s="719">
        <f t="shared" si="17"/>
        <v>0.16974199290134903</v>
      </c>
      <c r="X31" s="719">
        <f t="shared" si="17"/>
        <v>0</v>
      </c>
      <c r="Y31" s="719">
        <f t="shared" si="17"/>
        <v>4.172252065676779</v>
      </c>
      <c r="Z31" s="719">
        <f t="shared" si="17"/>
        <v>1.1601538327325177E-2</v>
      </c>
      <c r="AA31" s="719">
        <f t="shared" si="17"/>
        <v>1.933589721220863E-2</v>
      </c>
      <c r="AB31" s="719">
        <f t="shared" si="17"/>
        <v>0.14844185811247296</v>
      </c>
      <c r="AC31" s="720">
        <f>AC32*$AE32/($AE31-$AE36)+AC33*$AE33/($AE31-$AE36)+AC34*$AE34/($AE31-$AE36)+AC35*$AE35/($AE31-$AE36)</f>
        <v>0.80681280811945078</v>
      </c>
      <c r="AD31" s="822">
        <f>SUM(AD32:AD35)</f>
        <v>120.57988452225743</v>
      </c>
      <c r="AE31" s="888">
        <f>SUM(AE32:AE36)</f>
        <v>851.61091928894712</v>
      </c>
      <c r="AF31" s="836">
        <f>SUM(AF32:AF36)</f>
        <v>469.43788605401545</v>
      </c>
      <c r="AG31" s="894">
        <v>175</v>
      </c>
      <c r="AH31" s="758">
        <v>19</v>
      </c>
      <c r="AJ31" s="232"/>
      <c r="AY31"/>
    </row>
    <row r="32" spans="1:51" ht="28.8" x14ac:dyDescent="0.3">
      <c r="A32" s="148">
        <f ca="1">OFFSET(A32,-3,0)+1</f>
        <v>21</v>
      </c>
      <c r="B32" s="736" t="str">
        <f ca="1">'Procesy - AS IS'!B72</f>
        <v>Meranie č. 21</v>
      </c>
      <c r="C32" s="739" t="str">
        <f>'Procesy - AS IS'!C72</f>
        <v>Eko-Donau s.r.o., Preverenie legálnosti výrubu drevín, 5442/2018</v>
      </c>
      <c r="D32" s="779">
        <f>'Procesy - AS IS'!D74+'Procesy - ∆'!D292</f>
        <v>0</v>
      </c>
      <c r="E32" s="721">
        <f>'Procesy - AS IS'!E74+'Procesy - ∆'!E292</f>
        <v>0</v>
      </c>
      <c r="F32" s="721">
        <f>'Procesy - AS IS'!F74+'Procesy - ∆'!F292</f>
        <v>0</v>
      </c>
      <c r="G32" s="721">
        <f>'Procesy - AS IS'!G74+'Procesy - ∆'!G292</f>
        <v>2.8</v>
      </c>
      <c r="H32" s="721" t="s">
        <v>568</v>
      </c>
      <c r="I32" s="721" t="s">
        <v>568</v>
      </c>
      <c r="J32" s="721" t="s">
        <v>568</v>
      </c>
      <c r="K32" s="721" t="s">
        <v>568</v>
      </c>
      <c r="L32" s="721">
        <f>'Procesy - AS IS'!L74+'Procesy - ∆'!L292</f>
        <v>0.1875</v>
      </c>
      <c r="M32" s="721">
        <f>'Procesy - AS IS'!M74+'Procesy - ∆'!M292</f>
        <v>0</v>
      </c>
      <c r="N32" s="721">
        <f>'Procesy - AS IS'!N74+'Procesy - ∆'!N292</f>
        <v>0</v>
      </c>
      <c r="O32" s="721" t="s">
        <v>572</v>
      </c>
      <c r="P32" s="721">
        <f>'Procesy - AS IS'!P74+'Procesy - ∆'!P292</f>
        <v>1.65</v>
      </c>
      <c r="Q32" s="721">
        <f>'Procesy - AS IS'!Q74+'Procesy - ∆'!Q292</f>
        <v>0</v>
      </c>
      <c r="R32" s="721">
        <f>'Procesy - AS IS'!R74+'Procesy - ∆'!R292</f>
        <v>7.8799031476997587</v>
      </c>
      <c r="S32" s="721">
        <f>'Procesy - AS IS'!S74+'Procesy - ∆'!S292</f>
        <v>0.27167070217917672</v>
      </c>
      <c r="T32" s="721">
        <f>'Procesy - AS IS'!T74+'Procesy - ∆'!T292</f>
        <v>3.9399515738498794</v>
      </c>
      <c r="U32" s="721">
        <f>'Procesy - AS IS'!U74+'Procesy - ∆'!U292</f>
        <v>0</v>
      </c>
      <c r="V32" s="721">
        <f>'Procesy - AS IS'!V74+'Procesy - ∆'!V292</f>
        <v>0.25</v>
      </c>
      <c r="W32" s="721">
        <f>'Procesy - AS IS'!W74+'Procesy - ∆'!W292</f>
        <v>0.10762711864406779</v>
      </c>
      <c r="X32" s="721">
        <f>'Procesy - AS IS'!X74+'Procesy - ∆'!X292</f>
        <v>0</v>
      </c>
      <c r="Y32" s="721">
        <f>'Procesy - AS IS'!Y74+'Procesy - ∆'!Y292</f>
        <v>3.690072639225181</v>
      </c>
      <c r="Z32" s="721">
        <f>'Procesy - AS IS'!Z74+'Procesy - ∆'!Z292</f>
        <v>1.0895883777239709E-2</v>
      </c>
      <c r="AA32" s="721">
        <f>'Procesy - AS IS'!AA74+'Procesy - ∆'!AA292</f>
        <v>1.8159806295399514E-2</v>
      </c>
      <c r="AB32" s="721">
        <f>'Procesy - AS IS'!AB74+'Procesy - ∆'!AB292</f>
        <v>0.30508474576271183</v>
      </c>
      <c r="AC32" s="721">
        <f>'Procesy - AS IS'!AC74+'Procesy - ∆'!AC292</f>
        <v>0.87167070217917664</v>
      </c>
      <c r="AD32" s="824">
        <f>SUM(D32:AC32)</f>
        <v>21.982536319612596</v>
      </c>
      <c r="AE32" s="887">
        <f>'Procesy - AS IS'!AG74/2+'Procesy - ∆'!AF292</f>
        <v>339.58206148122753</v>
      </c>
      <c r="AF32" s="894">
        <f>'Procesy - AS IS'!AH74/2+'Procesy - ∆'!AG292</f>
        <v>185.82456633113176</v>
      </c>
      <c r="AG32" s="894">
        <f>'Procesy - AS IS'!AI74/2+'Procesy - ∆'!AH292</f>
        <v>104.42353948696342</v>
      </c>
      <c r="AH32" s="757">
        <f>'Procesy - AS IS'!AJ74/2+'Procesy - ∆'!AI292</f>
        <v>12.333488915783082</v>
      </c>
      <c r="AJ32" s="232"/>
      <c r="AY32"/>
    </row>
    <row r="33" spans="1:51" ht="43.2" x14ac:dyDescent="0.3">
      <c r="A33" s="148">
        <f t="shared" ref="A33:A42" ca="1" si="18">OFFSET(A33,-1,0)+1</f>
        <v>22</v>
      </c>
      <c r="B33" s="1025" t="str">
        <f ca="1">'Procesy - AS IS'!B75</f>
        <v>Meranie č. 22</v>
      </c>
      <c r="C33" s="739" t="str">
        <f>'Procesy - AS IS'!C75</f>
        <v>Komposesorát Vojka s.r.o., Preverenie legálnosti realizácie oplotenia v chránenom území, 3006/2018</v>
      </c>
      <c r="D33" s="779">
        <f>'Procesy - AS IS'!D77+'Procesy - ∆'!D306</f>
        <v>0</v>
      </c>
      <c r="E33" s="721">
        <f>'Procesy - AS IS'!E77+'Procesy - ∆'!E306</f>
        <v>0</v>
      </c>
      <c r="F33" s="721">
        <f>'Procesy - AS IS'!F77+'Procesy - ∆'!F306</f>
        <v>0</v>
      </c>
      <c r="G33" s="721">
        <f>'Procesy - AS IS'!G77+'Procesy - ∆'!G306</f>
        <v>2.1</v>
      </c>
      <c r="H33" s="721" t="s">
        <v>568</v>
      </c>
      <c r="I33" s="721" t="s">
        <v>568</v>
      </c>
      <c r="J33" s="721" t="s">
        <v>568</v>
      </c>
      <c r="K33" s="721" t="s">
        <v>568</v>
      </c>
      <c r="L33" s="721">
        <f>'Procesy - AS IS'!L77+'Procesy - ∆'!L306</f>
        <v>0.1875</v>
      </c>
      <c r="M33" s="721">
        <f>'Procesy - AS IS'!M77+'Procesy - ∆'!M306</f>
        <v>0</v>
      </c>
      <c r="N33" s="721">
        <f>'Procesy - AS IS'!N77+'Procesy - ∆'!N306</f>
        <v>0</v>
      </c>
      <c r="O33" s="721" t="s">
        <v>572</v>
      </c>
      <c r="P33" s="721">
        <f>'Procesy - AS IS'!P77+'Procesy - ∆'!P306</f>
        <v>1.1000000000000001</v>
      </c>
      <c r="Q33" s="721">
        <f>'Procesy - AS IS'!Q77+'Procesy - ∆'!Q306</f>
        <v>0</v>
      </c>
      <c r="R33" s="721">
        <f>'Procesy - AS IS'!R77+'Procesy - ∆'!R306</f>
        <v>7.8799031476997587</v>
      </c>
      <c r="S33" s="721">
        <f>'Procesy - AS IS'!S77+'Procesy - ∆'!S306</f>
        <v>2.1733656174334137</v>
      </c>
      <c r="T33" s="721">
        <f>'Procesy - AS IS'!T77+'Procesy - ∆'!T306</f>
        <v>3.9399515738498794</v>
      </c>
      <c r="U33" s="721">
        <f>'Procesy - AS IS'!U77+'Procesy - ∆'!U306</f>
        <v>0</v>
      </c>
      <c r="V33" s="721">
        <f>'Procesy - AS IS'!V77+'Procesy - ∆'!V306</f>
        <v>0.5</v>
      </c>
      <c r="W33" s="721">
        <f>'Procesy - AS IS'!W77+'Procesy - ∆'!W306</f>
        <v>0.21525423728813559</v>
      </c>
      <c r="X33" s="721">
        <f>'Procesy - AS IS'!X77+'Procesy - ∆'!X306</f>
        <v>0</v>
      </c>
      <c r="Y33" s="721">
        <f>'Procesy - AS IS'!Y77+'Procesy - ∆'!Y306</f>
        <v>4.4280871670702178</v>
      </c>
      <c r="Z33" s="721">
        <f>'Procesy - AS IS'!Z77+'Procesy - ∆'!Z306</f>
        <v>1.0895883777239709E-2</v>
      </c>
      <c r="AA33" s="721">
        <f>'Procesy - AS IS'!AA77+'Procesy - ∆'!AA306</f>
        <v>1.8159806295399514E-2</v>
      </c>
      <c r="AB33" s="721">
        <f>'Procesy - AS IS'!AB77+'Procesy - ∆'!AB306</f>
        <v>0</v>
      </c>
      <c r="AC33" s="721">
        <f>'Procesy - AS IS'!AC77+'Procesy - ∆'!AC306</f>
        <v>0</v>
      </c>
      <c r="AD33" s="824">
        <f>SUM(D33:AC33)</f>
        <v>22.553117433414048</v>
      </c>
      <c r="AE33" s="887">
        <f>'Procesy - AS IS'!AG74/2+'Procesy - ∆'!AF306</f>
        <v>341.65454167253802</v>
      </c>
      <c r="AF33" s="894">
        <f>'Procesy - AS IS'!AH74/2+'Procesy - ∆'!AG306</f>
        <v>186.95865960773264</v>
      </c>
      <c r="AG33" s="894">
        <f>'Procesy - AS IS'!AI74/2+'Procesy - ∆'!AH306</f>
        <v>105.06083969107101</v>
      </c>
      <c r="AH33" s="757">
        <f>'Procesy - AS IS'!AJ74/2+'Procesy - ∆'!AI306</f>
        <v>12.408760593433584</v>
      </c>
      <c r="AJ33" s="232"/>
      <c r="AY33"/>
    </row>
    <row r="34" spans="1:51" ht="43.2" x14ac:dyDescent="0.3">
      <c r="A34" s="148">
        <f t="shared" ca="1" si="18"/>
        <v>23</v>
      </c>
      <c r="B34" s="1025" t="str">
        <f ca="1">'Procesy - AS IS'!B78</f>
        <v>Meranie č. 23</v>
      </c>
      <c r="C34" s="739" t="str">
        <f>'Procesy - AS IS'!C78</f>
        <v>Štefan Fraňo, Ochrana ohrozených druhov, ktoré sú predmetom dohovoru CITES, 7840/2017</v>
      </c>
      <c r="D34" s="779">
        <f>'Procesy - AS IS'!D80+'Procesy - ∆'!D320</f>
        <v>0</v>
      </c>
      <c r="E34" s="721">
        <f>'Procesy - AS IS'!E80+'Procesy - ∆'!E320</f>
        <v>0</v>
      </c>
      <c r="F34" s="721">
        <f>'Procesy - AS IS'!F80+'Procesy - ∆'!F320</f>
        <v>0</v>
      </c>
      <c r="G34" s="721">
        <f>'Procesy - AS IS'!G80+'Procesy - ∆'!G320</f>
        <v>2.8</v>
      </c>
      <c r="H34" s="721" t="s">
        <v>568</v>
      </c>
      <c r="I34" s="721" t="s">
        <v>568</v>
      </c>
      <c r="J34" s="721" t="s">
        <v>568</v>
      </c>
      <c r="K34" s="721" t="s">
        <v>568</v>
      </c>
      <c r="L34" s="721">
        <f>'Procesy - AS IS'!L80+'Procesy - ∆'!L320</f>
        <v>0</v>
      </c>
      <c r="M34" s="721">
        <f>'Procesy - AS IS'!M80+'Procesy - ∆'!M320</f>
        <v>0</v>
      </c>
      <c r="N34" s="721">
        <f>'Procesy - AS IS'!N80+'Procesy - ∆'!N320</f>
        <v>0</v>
      </c>
      <c r="O34" s="721" t="s">
        <v>572</v>
      </c>
      <c r="P34" s="721">
        <f>'Procesy - AS IS'!P80+'Procesy - ∆'!P320</f>
        <v>0.55000000000000004</v>
      </c>
      <c r="Q34" s="721">
        <f>'Procesy - AS IS'!Q80+'Procesy - ∆'!Q320</f>
        <v>0</v>
      </c>
      <c r="R34" s="721">
        <f>'Procesy - AS IS'!R80+'Procesy - ∆'!R320</f>
        <v>12.253846153846153</v>
      </c>
      <c r="S34" s="721">
        <f>'Procesy - AS IS'!S80+'Procesy - ∆'!S320</f>
        <v>0.25961538461538458</v>
      </c>
      <c r="T34" s="721">
        <f>'Procesy - AS IS'!T80+'Procesy - ∆'!T320</f>
        <v>4.0846153846153843</v>
      </c>
      <c r="U34" s="721">
        <f>'Procesy - AS IS'!U80+'Procesy - ∆'!U320</f>
        <v>2.4230769230769234</v>
      </c>
      <c r="V34" s="721">
        <f>'Procesy - AS IS'!V80+'Procesy - ∆'!V320</f>
        <v>0.25</v>
      </c>
      <c r="W34" s="721">
        <f>'Procesy - AS IS'!W80+'Procesy - ∆'!W320</f>
        <v>0.13461538461538464</v>
      </c>
      <c r="X34" s="721">
        <f>'Procesy - AS IS'!X80+'Procesy - ∆'!X320</f>
        <v>0</v>
      </c>
      <c r="Y34" s="721">
        <f>'Procesy - AS IS'!Y80+'Procesy - ∆'!Y320</f>
        <v>3.6923076923076925</v>
      </c>
      <c r="Z34" s="721">
        <f>'Procesy - AS IS'!Z80+'Procesy - ∆'!Z320</f>
        <v>1.4423076923076924E-2</v>
      </c>
      <c r="AA34" s="721">
        <f>'Procesy - AS IS'!AA80+'Procesy - ∆'!AA320</f>
        <v>2.403846153846154E-2</v>
      </c>
      <c r="AB34" s="721">
        <f>'Procesy - AS IS'!AB80+'Procesy - ∆'!AB320</f>
        <v>0.26923076923076927</v>
      </c>
      <c r="AC34" s="721">
        <f>'Procesy - AS IS'!AC80+'Procesy - ∆'!AC320</f>
        <v>4.615384615384615</v>
      </c>
      <c r="AD34" s="824">
        <f>SUM(D34:AC34)</f>
        <v>31.371153846153845</v>
      </c>
      <c r="AE34" s="887">
        <f>'Procesy - AS IS'!AG80/2+'Procesy - ∆'!AF320</f>
        <v>84.73548703488018</v>
      </c>
      <c r="AF34" s="894">
        <f>'Procesy - AS IS'!AH80/2+'Procesy - ∆'!AG320</f>
        <v>48.071093606326251</v>
      </c>
      <c r="AG34" s="894">
        <f>'Procesy - AS IS'!AI80/2+'Procesy - ∆'!AH320</f>
        <v>32.590571936492374</v>
      </c>
      <c r="AH34" s="757">
        <f>'Procesy - AS IS'!AJ80+'Procesy - ∆'!AI320/2</f>
        <v>5.7869107460307738</v>
      </c>
      <c r="AJ34" s="232"/>
      <c r="AY34"/>
    </row>
    <row r="35" spans="1:51" ht="43.2" x14ac:dyDescent="0.3">
      <c r="A35" s="148">
        <f t="shared" ca="1" si="18"/>
        <v>24</v>
      </c>
      <c r="B35" s="234" t="str">
        <f ca="1">'Procesy - AS IS'!B81</f>
        <v>Meranie č. 24</v>
      </c>
      <c r="C35" s="718" t="str">
        <f>'Procesy - AS IS'!C81</f>
        <v>Marián Imrišek, Ochrana ohrozených druhov, ktoré sú predmetom dohovoru CITES, 38/2019</v>
      </c>
      <c r="D35" s="779">
        <f>'Procesy - AS IS'!D83+'Procesy - ∆'!D334</f>
        <v>0</v>
      </c>
      <c r="E35" s="721">
        <f>'Procesy - AS IS'!E83+'Procesy - ∆'!E334</f>
        <v>0</v>
      </c>
      <c r="F35" s="721">
        <f>'Procesy - AS IS'!F83+'Procesy - ∆'!F334</f>
        <v>0</v>
      </c>
      <c r="G35" s="721">
        <f>'Procesy - AS IS'!G83+'Procesy - ∆'!G334</f>
        <v>2.8</v>
      </c>
      <c r="H35" s="721" t="s">
        <v>568</v>
      </c>
      <c r="I35" s="721" t="s">
        <v>568</v>
      </c>
      <c r="J35" s="721" t="s">
        <v>568</v>
      </c>
      <c r="K35" s="721" t="s">
        <v>568</v>
      </c>
      <c r="L35" s="721">
        <f>'Procesy - AS IS'!L83+'Procesy - ∆'!L334</f>
        <v>0</v>
      </c>
      <c r="M35" s="721">
        <f>'Procesy - AS IS'!M83+'Procesy - ∆'!M334</f>
        <v>0</v>
      </c>
      <c r="N35" s="721">
        <f>'Procesy - AS IS'!N83+'Procesy - ∆'!N334</f>
        <v>0</v>
      </c>
      <c r="O35" s="721" t="s">
        <v>572</v>
      </c>
      <c r="P35" s="721">
        <f>'Procesy - AS IS'!P83+'Procesy - ∆'!P334</f>
        <v>1.65</v>
      </c>
      <c r="Q35" s="721">
        <f>'Procesy - AS IS'!Q83+'Procesy - ∆'!Q334</f>
        <v>0</v>
      </c>
      <c r="R35" s="721">
        <f>'Procesy - AS IS'!R83+'Procesy - ∆'!R334</f>
        <v>19.061538461538461</v>
      </c>
      <c r="S35" s="721">
        <f>'Procesy - AS IS'!S83+'Procesy - ∆'!S334</f>
        <v>8.3076923076923066</v>
      </c>
      <c r="T35" s="721">
        <f>'Procesy - AS IS'!T83+'Procesy - ∆'!T334</f>
        <v>4.0846153846153843</v>
      </c>
      <c r="U35" s="721">
        <f>'Procesy - AS IS'!U83+'Procesy - ∆'!U334</f>
        <v>2.4230769230769234</v>
      </c>
      <c r="V35" s="721">
        <f>'Procesy - AS IS'!V83+'Procesy - ∆'!V334</f>
        <v>0.5</v>
      </c>
      <c r="W35" s="721">
        <f>'Procesy - AS IS'!W83+'Procesy - ∆'!W334</f>
        <v>0.26923076923076927</v>
      </c>
      <c r="X35" s="721">
        <f>'Procesy - AS IS'!X83+'Procesy - ∆'!X334</f>
        <v>0</v>
      </c>
      <c r="Y35" s="721">
        <f>'Procesy - AS IS'!Y83+'Procesy - ∆'!Y334</f>
        <v>5.5384615384615383</v>
      </c>
      <c r="Z35" s="721">
        <f>'Procesy - AS IS'!Z83+'Procesy - ∆'!Z334</f>
        <v>1.4423076923076924E-2</v>
      </c>
      <c r="AA35" s="721">
        <f>'Procesy - AS IS'!AA83+'Procesy - ∆'!AA334</f>
        <v>2.403846153846154E-2</v>
      </c>
      <c r="AB35" s="721">
        <f>'Procesy - AS IS'!AB83+'Procesy - ∆'!AB334</f>
        <v>0</v>
      </c>
      <c r="AC35" s="721">
        <f>'Procesy - AS IS'!AC83+'Procesy - ∆'!AC334</f>
        <v>0</v>
      </c>
      <c r="AD35" s="824">
        <f>SUM(D35:AC35)</f>
        <v>44.673076923076927</v>
      </c>
      <c r="AE35" s="887">
        <f>'Procesy - AS IS'!AG80/2+'Procesy - ∆'!AF334</f>
        <v>85.638829100301351</v>
      </c>
      <c r="AF35" s="894">
        <f>'Procesy - AS IS'!AH80/2+'Procesy - ∆'!AG334</f>
        <v>48.583566508824809</v>
      </c>
      <c r="AG35" s="894">
        <f>'Procesy - AS IS'!AI80/2+'Procesy - ∆'!AH334</f>
        <v>32.938011192423602</v>
      </c>
      <c r="AH35" s="757">
        <f>'Procesy - AS IS'!AJ80/2+'Procesy - ∆'!AI334</f>
        <v>4.1172513990529502</v>
      </c>
      <c r="AJ35" s="232"/>
      <c r="AY35"/>
    </row>
    <row r="36" spans="1:51" ht="15" thickBot="1" x14ac:dyDescent="0.35">
      <c r="A36" s="148"/>
      <c r="B36" s="811"/>
      <c r="C36" s="812" t="s">
        <v>601</v>
      </c>
      <c r="D36" s="813"/>
      <c r="E36" s="813"/>
      <c r="F36" s="813"/>
      <c r="G36" s="814"/>
      <c r="H36" s="814"/>
      <c r="I36" s="814"/>
      <c r="J36" s="814"/>
      <c r="K36" s="814"/>
      <c r="L36" s="814"/>
      <c r="M36" s="814"/>
      <c r="N36" s="814"/>
      <c r="O36" s="814"/>
      <c r="P36" s="814"/>
      <c r="Q36" s="814"/>
      <c r="R36" s="814"/>
      <c r="S36" s="814"/>
      <c r="T36" s="814"/>
      <c r="U36" s="814"/>
      <c r="V36" s="814"/>
      <c r="W36" s="814"/>
      <c r="X36" s="814"/>
      <c r="Y36" s="814"/>
      <c r="Z36" s="814"/>
      <c r="AA36" s="814"/>
      <c r="AB36" s="814"/>
      <c r="AC36" s="814"/>
      <c r="AD36" s="821"/>
      <c r="AE36" s="889">
        <f>'Procesy - AS IS'!AG84+'Procesy - ∆'!AF348</f>
        <v>0</v>
      </c>
      <c r="AF36" s="895">
        <f>'Procesy - AS IS'!AH84+'Procesy - ∆'!AG348</f>
        <v>0</v>
      </c>
      <c r="AG36" s="895">
        <f>'Procesy - AS IS'!AI84+'Procesy - ∆'!AH348</f>
        <v>0</v>
      </c>
      <c r="AH36" s="815">
        <f>'Procesy - AS IS'!AJ84+'Procesy - ∆'!AI348</f>
        <v>0</v>
      </c>
      <c r="AJ36" s="232"/>
      <c r="AY36"/>
    </row>
    <row r="37" spans="1:51" x14ac:dyDescent="0.3">
      <c r="A37" s="148"/>
      <c r="B37" s="725" t="str">
        <f>'Procesy - AS IS'!B85</f>
        <v>Zdroj 5</v>
      </c>
      <c r="C37" s="726" t="str">
        <f>'Procesy - AS IS'!C85</f>
        <v>Inšpekcia biologickej bezpečnosti</v>
      </c>
      <c r="D37" s="796">
        <f t="shared" ref="D37:G37" si="19">D38*$AE38/($AE37-$AE43)+D39*$AE39/($AE37-$AE43)+D40*$AE40/($AE37-$AE43)+D41*$AE41/($AE37-$AE43)+D42*$AE42/($AE37-$AE43)</f>
        <v>0</v>
      </c>
      <c r="E37" s="719">
        <f t="shared" si="19"/>
        <v>7.93635729220986</v>
      </c>
      <c r="F37" s="719">
        <f t="shared" si="19"/>
        <v>3.405310389822326</v>
      </c>
      <c r="G37" s="729">
        <f t="shared" si="19"/>
        <v>4.7002013816482302</v>
      </c>
      <c r="H37" s="722"/>
      <c r="I37" s="722"/>
      <c r="J37" s="722"/>
      <c r="K37" s="722"/>
      <c r="L37" s="729">
        <f t="shared" ref="L37:M37" si="20">L38*$AE38/($AE37-$AE43)+L39*$AE39/($AE37-$AE43)+L40*$AE40/($AE37-$AE43)+L41*$AE41/($AE37-$AE43)+L42*$AE42/($AE37-$AE43)</f>
        <v>2.2919748778914939</v>
      </c>
      <c r="M37" s="729">
        <f t="shared" si="20"/>
        <v>0</v>
      </c>
      <c r="N37" s="719"/>
      <c r="O37" s="719"/>
      <c r="P37" s="719">
        <f t="shared" ref="P37:AB37" si="21">P38*$AE38/($AE37-$AE43)+P39*$AE39/($AE37-$AE43)+P40*$AE40/($AE37-$AE43)+P41*$AE41/($AE37-$AE43)+P42*$AE42/($AE37-$AE43)</f>
        <v>2.6924760786021835</v>
      </c>
      <c r="Q37" s="719">
        <f t="shared" si="21"/>
        <v>0</v>
      </c>
      <c r="R37" s="719">
        <f t="shared" si="21"/>
        <v>0.51297066069660346</v>
      </c>
      <c r="S37" s="719">
        <f t="shared" si="21"/>
        <v>5.007354495350393</v>
      </c>
      <c r="T37" s="719">
        <f t="shared" si="21"/>
        <v>0.25648533034830173</v>
      </c>
      <c r="U37" s="719">
        <f t="shared" si="21"/>
        <v>1.4750469335640393</v>
      </c>
      <c r="V37" s="719">
        <f t="shared" si="21"/>
        <v>1.8874465564258069</v>
      </c>
      <c r="W37" s="719">
        <f t="shared" si="21"/>
        <v>0</v>
      </c>
      <c r="X37" s="719">
        <f t="shared" si="21"/>
        <v>0</v>
      </c>
      <c r="Y37" s="719">
        <f t="shared" si="21"/>
        <v>0</v>
      </c>
      <c r="Z37" s="719">
        <f t="shared" si="21"/>
        <v>0</v>
      </c>
      <c r="AA37" s="719">
        <f t="shared" si="21"/>
        <v>0</v>
      </c>
      <c r="AB37" s="719">
        <f t="shared" si="21"/>
        <v>0</v>
      </c>
      <c r="AC37" s="720">
        <f>AC38*$AE38/($AE37-$AE43)+AC39*$AE39/($AE37-$AE43)+AC40*$AE40/($AE37-$AE43)+AC41*$AE41/($AE37-$AE43)+AC42*$AE42/($AE37-$AE43)</f>
        <v>0</v>
      </c>
      <c r="AD37" s="822">
        <f>SUM(AD38:AD42)</f>
        <v>177.61113237639555</v>
      </c>
      <c r="AE37" s="888">
        <f>SUM(AE38:AE43)</f>
        <v>265.27361585046737</v>
      </c>
      <c r="AF37" s="836">
        <f>SUM(AF38:AF43)</f>
        <v>26.532235951853593</v>
      </c>
      <c r="AG37" s="894">
        <f>SUM(AG38:AG43)</f>
        <v>0</v>
      </c>
      <c r="AH37" s="758">
        <f>SUM(AH38:AH43)</f>
        <v>0</v>
      </c>
      <c r="AJ37" s="232"/>
      <c r="AY37"/>
    </row>
    <row r="38" spans="1:51" ht="28.8" x14ac:dyDescent="0.3">
      <c r="A38" s="148">
        <f ca="1">OFFSET(A38,-3,0)+1</f>
        <v>25</v>
      </c>
      <c r="B38" s="736" t="str">
        <f ca="1">'Procesy - AS IS'!B86</f>
        <v>Meranie č. 25</v>
      </c>
      <c r="C38" s="739" t="str">
        <f>'Procesy - AS IS'!C86</f>
        <v>PF UK, Kontrola uzavretých priestorov, 3651/2018</v>
      </c>
      <c r="D38" s="796">
        <f>'Procesy - AS IS'!D88+'Procesy - ∆'!D350</f>
        <v>0</v>
      </c>
      <c r="E38" s="721">
        <f>'Procesy - AS IS'!E88+'Procesy - ∆'!E350</f>
        <v>32</v>
      </c>
      <c r="F38" s="721">
        <f>'Procesy - AS IS'!F88+'Procesy - ∆'!F350</f>
        <v>1.5</v>
      </c>
      <c r="G38" s="721">
        <f>'Procesy - AS IS'!G88+'Procesy - ∆'!G350</f>
        <v>11.2</v>
      </c>
      <c r="H38" s="721" t="s">
        <v>568</v>
      </c>
      <c r="I38" s="721" t="s">
        <v>568</v>
      </c>
      <c r="J38" s="721" t="s">
        <v>568</v>
      </c>
      <c r="K38" s="721" t="s">
        <v>568</v>
      </c>
      <c r="L38" s="721">
        <f>'Procesy - AS IS'!L88+'Procesy - ∆'!L350</f>
        <v>0.6</v>
      </c>
      <c r="M38" s="721">
        <f>'Procesy - AS IS'!M88+'Procesy - ∆'!M350</f>
        <v>0</v>
      </c>
      <c r="N38" s="721" t="s">
        <v>570</v>
      </c>
      <c r="O38" s="721" t="s">
        <v>572</v>
      </c>
      <c r="P38" s="721">
        <f>'Procesy - AS IS'!P88+'Procesy - ∆'!P350</f>
        <v>4.4000000000000004</v>
      </c>
      <c r="Q38" s="721">
        <f>'Procesy - AS IS'!Q88+'Procesy - ∆'!Q350</f>
        <v>0</v>
      </c>
      <c r="R38" s="721">
        <f>'Procesy - AS IS'!R88+'Procesy - ∆'!R350</f>
        <v>0.87272727272727268</v>
      </c>
      <c r="S38" s="721">
        <f>'Procesy - AS IS'!S88+'Procesy - ∆'!S350</f>
        <v>8.7272727272727266</v>
      </c>
      <c r="T38" s="721">
        <f>'Procesy - AS IS'!T88+'Procesy - ∆'!T350</f>
        <v>0.43636363636363634</v>
      </c>
      <c r="U38" s="721">
        <f>'Procesy - AS IS'!U88+'Procesy - ∆'!U350</f>
        <v>5.0909090909090908</v>
      </c>
      <c r="V38" s="721">
        <f>'Procesy - AS IS'!V88+'Procesy - ∆'!V350</f>
        <v>0.25</v>
      </c>
      <c r="W38" s="721">
        <f>'Procesy - AS IS'!W88+'Procesy - ∆'!W350</f>
        <v>0</v>
      </c>
      <c r="X38" s="721">
        <f>'Procesy - AS IS'!X88+'Procesy - ∆'!X350</f>
        <v>0</v>
      </c>
      <c r="Y38" s="721">
        <f>'Procesy - AS IS'!Y88+'Procesy - ∆'!Y350</f>
        <v>0</v>
      </c>
      <c r="Z38" s="721">
        <f>'Procesy - AS IS'!Z88+'Procesy - ∆'!Z350</f>
        <v>0</v>
      </c>
      <c r="AA38" s="721">
        <f>'Procesy - AS IS'!AA88+'Procesy - ∆'!AA350</f>
        <v>0</v>
      </c>
      <c r="AB38" s="721">
        <f>'Procesy - AS IS'!AB88+'Procesy - ∆'!AB350</f>
        <v>0</v>
      </c>
      <c r="AC38" s="721">
        <f>'Procesy - AS IS'!AC88+'Procesy - ∆'!AC350</f>
        <v>0</v>
      </c>
      <c r="AD38" s="824">
        <f>SUM(D38:AC38)</f>
        <v>65.077272727272728</v>
      </c>
      <c r="AE38" s="887">
        <f>'Procesy - AS IS'!AG88+'Procesy - ∆'!AF350</f>
        <v>15.55074387092268</v>
      </c>
      <c r="AF38" s="894">
        <f>'Procesy - AS IS'!AH88+'Procesy - ∆'!AG350</f>
        <v>1.4137039882656983</v>
      </c>
      <c r="AG38" s="894">
        <f>'Procesy - AS IS'!AI88+'Procesy - ∆'!AH350</f>
        <v>0</v>
      </c>
      <c r="AH38" s="757">
        <f>'Procesy - AS IS'!AJ88+'Procesy - ∆'!AI350</f>
        <v>0</v>
      </c>
      <c r="AJ38" s="232"/>
      <c r="AY38"/>
    </row>
    <row r="39" spans="1:51" ht="28.8" x14ac:dyDescent="0.3">
      <c r="A39" s="148">
        <f t="shared" ca="1" si="18"/>
        <v>26</v>
      </c>
      <c r="B39" s="234" t="str">
        <f ca="1">'Procesy - AS IS'!B89</f>
        <v>Meranie č. 26</v>
      </c>
      <c r="C39" s="718" t="str">
        <f>'Procesy - AS IS'!C89</f>
        <v>František Karkes, Senec, Používanie GT a GMO zámerným uvoľňovaním, 4785/2017</v>
      </c>
      <c r="D39" s="796">
        <f>'Procesy - AS IS'!D91+'Procesy - ∆'!D364</f>
        <v>0</v>
      </c>
      <c r="E39" s="721">
        <f>'Procesy - AS IS'!E91+'Procesy - ∆'!E364</f>
        <v>6.4</v>
      </c>
      <c r="F39" s="721">
        <f>'Procesy - AS IS'!F91+'Procesy - ∆'!F364</f>
        <v>4.8</v>
      </c>
      <c r="G39" s="721">
        <f>'Procesy - AS IS'!G91+'Procesy - ∆'!G364</f>
        <v>2.8</v>
      </c>
      <c r="H39" s="721" t="s">
        <v>568</v>
      </c>
      <c r="I39" s="721" t="s">
        <v>568</v>
      </c>
      <c r="J39" s="721" t="s">
        <v>568</v>
      </c>
      <c r="K39" s="721" t="s">
        <v>568</v>
      </c>
      <c r="L39" s="721">
        <f>'Procesy - AS IS'!L91+'Procesy - ∆'!L364</f>
        <v>2.4</v>
      </c>
      <c r="M39" s="721">
        <f>'Procesy - AS IS'!M91+'Procesy - ∆'!M364</f>
        <v>0</v>
      </c>
      <c r="N39" s="721" t="s">
        <v>570</v>
      </c>
      <c r="O39" s="721" t="s">
        <v>572</v>
      </c>
      <c r="P39" s="721">
        <f>'Procesy - AS IS'!P91+'Procesy - ∆'!P364</f>
        <v>1.65</v>
      </c>
      <c r="Q39" s="721">
        <f>'Procesy - AS IS'!Q91+'Procesy - ∆'!Q364</f>
        <v>0</v>
      </c>
      <c r="R39" s="721">
        <f>'Procesy - AS IS'!R91+'Procesy - ∆'!R364</f>
        <v>1.3473684210526313</v>
      </c>
      <c r="S39" s="721">
        <f>'Procesy - AS IS'!S91+'Procesy - ∆'!S364</f>
        <v>2.0631578947368423</v>
      </c>
      <c r="T39" s="721">
        <f>'Procesy - AS IS'!T91+'Procesy - ∆'!T364</f>
        <v>0.67368421052631566</v>
      </c>
      <c r="U39" s="721">
        <f>'Procesy - AS IS'!U91+'Procesy - ∆'!U364</f>
        <v>2.4070175438596495</v>
      </c>
      <c r="V39" s="721">
        <f>'Procesy - AS IS'!V91+'Procesy - ∆'!V364</f>
        <v>2</v>
      </c>
      <c r="W39" s="721">
        <f>'Procesy - AS IS'!W91+'Procesy - ∆'!W364</f>
        <v>0</v>
      </c>
      <c r="X39" s="721">
        <f>'Procesy - AS IS'!X91+'Procesy - ∆'!X364</f>
        <v>0</v>
      </c>
      <c r="Y39" s="721">
        <f>'Procesy - AS IS'!Y91+'Procesy - ∆'!Y364</f>
        <v>0</v>
      </c>
      <c r="Z39" s="721">
        <f>'Procesy - AS IS'!Z91+'Procesy - ∆'!Z364</f>
        <v>0</v>
      </c>
      <c r="AA39" s="721">
        <f>'Procesy - AS IS'!AA91+'Procesy - ∆'!AA364</f>
        <v>0</v>
      </c>
      <c r="AB39" s="721">
        <f>'Procesy - AS IS'!AB91+'Procesy - ∆'!AB364</f>
        <v>0</v>
      </c>
      <c r="AC39" s="721">
        <f>'Procesy - AS IS'!AC91+'Procesy - ∆'!AC364</f>
        <v>0</v>
      </c>
      <c r="AD39" s="824">
        <f>SUM(D39:AC39)</f>
        <v>26.541228070175436</v>
      </c>
      <c r="AE39" s="887">
        <f>'Procesy - AS IS'!AG91/2+'Procesy - ∆'!AF364</f>
        <v>88.579171761906352</v>
      </c>
      <c r="AF39" s="894">
        <f>'Procesy - AS IS'!AH91/2+'Procesy - ∆'!AG364</f>
        <v>12.432164457811417</v>
      </c>
      <c r="AG39" s="894">
        <f>'Procesy - AS IS'!AI91/2+'Procesy - ∆'!AH364</f>
        <v>0</v>
      </c>
      <c r="AH39" s="757">
        <f>'Procesy - AS IS'!AJ91/2+'Procesy - ∆'!AI364</f>
        <v>0</v>
      </c>
      <c r="AJ39" s="232"/>
      <c r="AY39"/>
    </row>
    <row r="40" spans="1:51" ht="28.8" x14ac:dyDescent="0.3">
      <c r="A40" s="148">
        <f t="shared" ca="1" si="18"/>
        <v>27</v>
      </c>
      <c r="B40" s="234" t="str">
        <f ca="1">'Procesy - AS IS'!B92</f>
        <v>Meranie č. 27</v>
      </c>
      <c r="C40" s="718" t="str">
        <f>'Procesy - AS IS'!C92</f>
        <v>Farma Majcikov, Používanie GT a GMO zámerným uvoľňovaním, 6121/2018</v>
      </c>
      <c r="D40" s="796">
        <f>'Procesy - AS IS'!D94+'Procesy - ∆'!D378</f>
        <v>0</v>
      </c>
      <c r="E40" s="721">
        <f>'Procesy - AS IS'!E94+'Procesy - ∆'!E378</f>
        <v>6.4</v>
      </c>
      <c r="F40" s="721">
        <f>'Procesy - AS IS'!F94+'Procesy - ∆'!F378</f>
        <v>4.8</v>
      </c>
      <c r="G40" s="721">
        <f>'Procesy - AS IS'!G94+'Procesy - ∆'!G378</f>
        <v>2.8</v>
      </c>
      <c r="H40" s="721" t="s">
        <v>568</v>
      </c>
      <c r="I40" s="721" t="s">
        <v>568</v>
      </c>
      <c r="J40" s="721" t="s">
        <v>568</v>
      </c>
      <c r="K40" s="721" t="s">
        <v>568</v>
      </c>
      <c r="L40" s="721">
        <f>'Procesy - AS IS'!L94+'Procesy - ∆'!L378</f>
        <v>2.4</v>
      </c>
      <c r="M40" s="721">
        <f>'Procesy - AS IS'!M94+'Procesy - ∆'!M378</f>
        <v>0</v>
      </c>
      <c r="N40" s="721" t="s">
        <v>570</v>
      </c>
      <c r="O40" s="721" t="s">
        <v>572</v>
      </c>
      <c r="P40" s="721">
        <f>'Procesy - AS IS'!P94+'Procesy - ∆'!P378</f>
        <v>2.2000000000000002</v>
      </c>
      <c r="Q40" s="721">
        <f>'Procesy - AS IS'!Q94+'Procesy - ∆'!Q378</f>
        <v>0</v>
      </c>
      <c r="R40" s="721">
        <f>'Procesy - AS IS'!R94+'Procesy - ∆'!R378</f>
        <v>0</v>
      </c>
      <c r="S40" s="721">
        <f>'Procesy - AS IS'!S94+'Procesy - ∆'!S378</f>
        <v>8.2526315789473692</v>
      </c>
      <c r="T40" s="721">
        <f>'Procesy - AS IS'!T94+'Procesy - ∆'!T378</f>
        <v>0</v>
      </c>
      <c r="U40" s="721">
        <f>'Procesy - AS IS'!U94+'Procesy - ∆'!U378</f>
        <v>0</v>
      </c>
      <c r="V40" s="721">
        <f>'Procesy - AS IS'!V94+'Procesy - ∆'!V378</f>
        <v>2</v>
      </c>
      <c r="W40" s="721">
        <f>'Procesy - AS IS'!W94+'Procesy - ∆'!W378</f>
        <v>0</v>
      </c>
      <c r="X40" s="721">
        <f>'Procesy - AS IS'!X94+'Procesy - ∆'!X378</f>
        <v>0</v>
      </c>
      <c r="Y40" s="721">
        <f>'Procesy - AS IS'!Y94+'Procesy - ∆'!Y378</f>
        <v>0</v>
      </c>
      <c r="Z40" s="721">
        <f>'Procesy - AS IS'!Z94+'Procesy - ∆'!Z378</f>
        <v>0</v>
      </c>
      <c r="AA40" s="721">
        <f>'Procesy - AS IS'!AA94+'Procesy - ∆'!AA378</f>
        <v>0</v>
      </c>
      <c r="AB40" s="721">
        <f>'Procesy - AS IS'!AB94+'Procesy - ∆'!AB378</f>
        <v>0</v>
      </c>
      <c r="AC40" s="721">
        <f>'Procesy - AS IS'!AC94+'Procesy - ∆'!AC378</f>
        <v>0</v>
      </c>
      <c r="AD40" s="824">
        <f>SUM(D40:AC40)</f>
        <v>28.852631578947367</v>
      </c>
      <c r="AE40" s="887">
        <f>'Procesy - AS IS'!AG91/2+'Procesy - ∆'!AF378</f>
        <v>90.390368478657422</v>
      </c>
      <c r="AF40" s="894">
        <f>'Procesy - AS IS'!AH91/2+'Procesy - ∆'!AG378</f>
        <v>12.686367505776479</v>
      </c>
      <c r="AG40" s="894">
        <f>'Procesy - AS IS'!AI91/2+'Procesy - ∆'!AH378</f>
        <v>0</v>
      </c>
      <c r="AH40" s="757">
        <f>'Procesy - AS IS'!AJ91/2+'Procesy - ∆'!AI378</f>
        <v>0</v>
      </c>
      <c r="AJ40" s="232"/>
      <c r="AY40"/>
    </row>
    <row r="41" spans="1:51" ht="43.2" x14ac:dyDescent="0.3">
      <c r="A41" s="148">
        <f t="shared" ca="1" si="18"/>
        <v>28</v>
      </c>
      <c r="B41" s="234" t="str">
        <f ca="1">'Procesy - AS IS'!B95</f>
        <v>Meranie č. 28</v>
      </c>
      <c r="C41" s="718" t="str">
        <f>'Procesy - AS IS'!C95</f>
        <v>Považská cementáreň, a.s. , Environmentálne označovanie výrobkov, 5706/2018</v>
      </c>
      <c r="D41" s="796">
        <f>'Procesy - AS IS'!D97+'Procesy - ∆'!D392</f>
        <v>0</v>
      </c>
      <c r="E41" s="721">
        <f>'Procesy - AS IS'!E97+'Procesy - ∆'!E392</f>
        <v>6.4</v>
      </c>
      <c r="F41" s="721">
        <f>'Procesy - AS IS'!F97+'Procesy - ∆'!F392</f>
        <v>0</v>
      </c>
      <c r="G41" s="721">
        <f>'Procesy - AS IS'!G97+'Procesy - ∆'!G392</f>
        <v>8.4</v>
      </c>
      <c r="H41" s="721" t="s">
        <v>568</v>
      </c>
      <c r="I41" s="721" t="s">
        <v>568</v>
      </c>
      <c r="J41" s="721" t="s">
        <v>568</v>
      </c>
      <c r="K41" s="721" t="s">
        <v>568</v>
      </c>
      <c r="L41" s="721">
        <f>'Procesy - AS IS'!L97+'Procesy - ∆'!L392</f>
        <v>2.4</v>
      </c>
      <c r="M41" s="721">
        <f>'Procesy - AS IS'!M97+'Procesy - ∆'!M392</f>
        <v>0</v>
      </c>
      <c r="N41" s="721" t="s">
        <v>570</v>
      </c>
      <c r="O41" s="721" t="s">
        <v>572</v>
      </c>
      <c r="P41" s="721">
        <f>'Procesy - AS IS'!P97+'Procesy - ∆'!P392</f>
        <v>4.4000000000000004</v>
      </c>
      <c r="Q41" s="721">
        <f>'Procesy - AS IS'!Q97+'Procesy - ∆'!Q392</f>
        <v>0</v>
      </c>
      <c r="R41" s="721">
        <f>'Procesy - AS IS'!R97+'Procesy - ∆'!R392</f>
        <v>0</v>
      </c>
      <c r="S41" s="721">
        <f>'Procesy - AS IS'!S97+'Procesy - ∆'!S392</f>
        <v>2.4</v>
      </c>
      <c r="T41" s="721">
        <f>'Procesy - AS IS'!T97+'Procesy - ∆'!T392</f>
        <v>0</v>
      </c>
      <c r="U41" s="721">
        <f>'Procesy - AS IS'!U97+'Procesy - ∆'!U392</f>
        <v>2.8</v>
      </c>
      <c r="V41" s="721">
        <f>'Procesy - AS IS'!V97+'Procesy - ∆'!V392</f>
        <v>2</v>
      </c>
      <c r="W41" s="721">
        <f>'Procesy - AS IS'!W97+'Procesy - ∆'!W392</f>
        <v>0</v>
      </c>
      <c r="X41" s="721">
        <f>'Procesy - AS IS'!X97+'Procesy - ∆'!X392</f>
        <v>0</v>
      </c>
      <c r="Y41" s="721">
        <f>'Procesy - AS IS'!Y97+'Procesy - ∆'!Y392</f>
        <v>0</v>
      </c>
      <c r="Z41" s="721">
        <f>'Procesy - AS IS'!Z97+'Procesy - ∆'!Z392</f>
        <v>0</v>
      </c>
      <c r="AA41" s="721">
        <f>'Procesy - AS IS'!AA97+'Procesy - ∆'!AA392</f>
        <v>0</v>
      </c>
      <c r="AB41" s="721">
        <f>'Procesy - AS IS'!AB97+'Procesy - ∆'!AB392</f>
        <v>0</v>
      </c>
      <c r="AC41" s="721">
        <f>'Procesy - AS IS'!AC97+'Procesy - ∆'!AC392</f>
        <v>0</v>
      </c>
      <c r="AD41" s="824">
        <f>SUM(D41:AC41)</f>
        <v>28.8</v>
      </c>
      <c r="AE41" s="887">
        <f>'Procesy - AS IS'!AG97/2+'Procesy - ∆'!AF392</f>
        <v>32.083333333333336</v>
      </c>
      <c r="AF41" s="894">
        <f>'Procesy - AS IS'!AH97/2+'Procesy - ∆'!AG392</f>
        <v>0</v>
      </c>
      <c r="AG41" s="894">
        <f>'Procesy - AS IS'!AI97/2+'Procesy - ∆'!AH392</f>
        <v>0</v>
      </c>
      <c r="AH41" s="757">
        <f>'Procesy - AS IS'!AJ97/2+'Procesy - ∆'!AI392</f>
        <v>0</v>
      </c>
      <c r="AJ41" s="232"/>
      <c r="AY41"/>
    </row>
    <row r="42" spans="1:51" ht="42.6" customHeight="1" x14ac:dyDescent="0.3">
      <c r="A42" s="148">
        <f t="shared" ca="1" si="18"/>
        <v>29</v>
      </c>
      <c r="B42" s="234" t="str">
        <f ca="1">'Procesy - AS IS'!B98</f>
        <v>Meranie č. 29</v>
      </c>
      <c r="C42" s="718" t="str">
        <f>'Procesy - AS IS'!C98</f>
        <v xml:space="preserve">Drogéria u Spuchláka, Malacky, Environmentálne označovanie, </v>
      </c>
      <c r="D42" s="796">
        <f>'Procesy - AS IS'!D100+'Procesy - ∆'!D406</f>
        <v>0</v>
      </c>
      <c r="E42" s="721">
        <f>'Procesy - AS IS'!E100+'Procesy - ∆'!E406</f>
        <v>6.4</v>
      </c>
      <c r="F42" s="721">
        <f>'Procesy - AS IS'!F100+'Procesy - ∆'!F406</f>
        <v>0</v>
      </c>
      <c r="G42" s="721">
        <f>'Procesy - AS IS'!G100+'Procesy - ∆'!G406</f>
        <v>8.4</v>
      </c>
      <c r="H42" s="721" t="s">
        <v>568</v>
      </c>
      <c r="I42" s="721" t="s">
        <v>568</v>
      </c>
      <c r="J42" s="721" t="s">
        <v>568</v>
      </c>
      <c r="K42" s="721" t="s">
        <v>568</v>
      </c>
      <c r="L42" s="721">
        <f>'Procesy - AS IS'!L100+'Procesy - ∆'!L406</f>
        <v>2.4</v>
      </c>
      <c r="M42" s="721">
        <f>'Procesy - AS IS'!M100+'Procesy - ∆'!M406</f>
        <v>0</v>
      </c>
      <c r="N42" s="721" t="s">
        <v>570</v>
      </c>
      <c r="O42" s="721" t="s">
        <v>572</v>
      </c>
      <c r="P42" s="721">
        <f>'Procesy - AS IS'!P100+'Procesy - ∆'!P406</f>
        <v>4.4000000000000004</v>
      </c>
      <c r="Q42" s="721">
        <f>'Procesy - AS IS'!Q100+'Procesy - ∆'!Q406</f>
        <v>0</v>
      </c>
      <c r="R42" s="721">
        <f>'Procesy - AS IS'!R100+'Procesy - ∆'!R406</f>
        <v>0</v>
      </c>
      <c r="S42" s="721">
        <f>'Procesy - AS IS'!S100+'Procesy - ∆'!S406</f>
        <v>4.8</v>
      </c>
      <c r="T42" s="721">
        <f>'Procesy - AS IS'!T100+'Procesy - ∆'!T406</f>
        <v>0</v>
      </c>
      <c r="U42" s="721">
        <f>'Procesy - AS IS'!U100+'Procesy - ∆'!U406</f>
        <v>0</v>
      </c>
      <c r="V42" s="721">
        <f>'Procesy - AS IS'!V100+'Procesy - ∆'!V406</f>
        <v>1.94</v>
      </c>
      <c r="W42" s="721">
        <f>'Procesy - AS IS'!W100+'Procesy - ∆'!W406</f>
        <v>0</v>
      </c>
      <c r="X42" s="721">
        <f>'Procesy - AS IS'!X100+'Procesy - ∆'!X406</f>
        <v>0</v>
      </c>
      <c r="Y42" s="721">
        <f>'Procesy - AS IS'!Y100+'Procesy - ∆'!Y406</f>
        <v>0</v>
      </c>
      <c r="Z42" s="721">
        <f>'Procesy - AS IS'!Z100+'Procesy - ∆'!Z406</f>
        <v>0</v>
      </c>
      <c r="AA42" s="721">
        <f>'Procesy - AS IS'!AA100+'Procesy - ∆'!AA406</f>
        <v>0</v>
      </c>
      <c r="AB42" s="721">
        <f>'Procesy - AS IS'!AB100+'Procesy - ∆'!AB406</f>
        <v>0</v>
      </c>
      <c r="AC42" s="721">
        <f>'Procesy - AS IS'!AC100+'Procesy - ∆'!AC406</f>
        <v>0</v>
      </c>
      <c r="AD42" s="824">
        <f>SUM(D42:AC42)</f>
        <v>28.340000000000003</v>
      </c>
      <c r="AE42" s="887">
        <f>'Procesy - AS IS'!AG97/2+'Procesy - ∆'!AF406</f>
        <v>32.515172900493994</v>
      </c>
      <c r="AF42" s="894">
        <f>'Procesy - AS IS'!AH97/2+'Procesy - ∆'!AG406</f>
        <v>0</v>
      </c>
      <c r="AG42" s="894">
        <f>'Procesy - AS IS'!AI97/2+'Procesy - ∆'!AH406</f>
        <v>0</v>
      </c>
      <c r="AH42" s="757">
        <f>'Procesy - AS IS'!AJ97/2+'Procesy - ∆'!AI406</f>
        <v>0</v>
      </c>
      <c r="AJ42" s="232"/>
      <c r="AY42"/>
    </row>
    <row r="43" spans="1:51" ht="15" thickBot="1" x14ac:dyDescent="0.35">
      <c r="A43" s="148"/>
      <c r="B43" s="811"/>
      <c r="C43" s="812" t="s">
        <v>601</v>
      </c>
      <c r="D43" s="813"/>
      <c r="E43" s="813"/>
      <c r="F43" s="813"/>
      <c r="G43" s="814"/>
      <c r="H43" s="814"/>
      <c r="I43" s="814"/>
      <c r="J43" s="814"/>
      <c r="K43" s="814"/>
      <c r="L43" s="814"/>
      <c r="M43" s="814"/>
      <c r="N43" s="814"/>
      <c r="O43" s="814"/>
      <c r="P43" s="814"/>
      <c r="Q43" s="814"/>
      <c r="R43" s="814"/>
      <c r="S43" s="814"/>
      <c r="T43" s="814"/>
      <c r="U43" s="814"/>
      <c r="V43" s="814"/>
      <c r="W43" s="814"/>
      <c r="X43" s="814"/>
      <c r="Y43" s="814"/>
      <c r="Z43" s="814"/>
      <c r="AA43" s="814"/>
      <c r="AB43" s="814"/>
      <c r="AC43" s="814"/>
      <c r="AD43" s="821"/>
      <c r="AE43" s="889">
        <f>'Procesy - AS IS'!AG101+'Procesy - ∆'!AF420</f>
        <v>6.1548255051535392</v>
      </c>
      <c r="AF43" s="895">
        <f>'Procesy - AS IS'!AH101+'Procesy - ∆'!AG420</f>
        <v>0</v>
      </c>
      <c r="AG43" s="895">
        <f>'Procesy - AS IS'!AI101+'Procesy - ∆'!AH420</f>
        <v>0</v>
      </c>
      <c r="AH43" s="815">
        <f>'Procesy - AS IS'!AJ101+'Procesy - ∆'!AI420</f>
        <v>0</v>
      </c>
      <c r="AJ43" s="232"/>
      <c r="AY43"/>
    </row>
    <row r="44" spans="1:51" x14ac:dyDescent="0.3">
      <c r="A44" s="148"/>
      <c r="B44" s="725" t="str">
        <f>'Procesy - AS IS'!B102</f>
        <v>Zdroj 6</v>
      </c>
      <c r="C44" s="726" t="str">
        <f>'Procesy - AS IS'!C102</f>
        <v>Integrované povoľovanie a kontrola</v>
      </c>
      <c r="D44" s="796">
        <f>D45*$AE45/($AE44-$AE46)</f>
        <v>0</v>
      </c>
      <c r="E44" s="719">
        <f>E45*$AE45/($AE44-$AE46)</f>
        <v>0</v>
      </c>
      <c r="F44" s="719">
        <f>F45*$AE45/($AE44-$AE46)</f>
        <v>0</v>
      </c>
      <c r="G44" s="729">
        <f>G45*$AE45/($AE44-$AE46)</f>
        <v>19.600000000000001</v>
      </c>
      <c r="H44" s="722"/>
      <c r="I44" s="722"/>
      <c r="J44" s="722"/>
      <c r="K44" s="722"/>
      <c r="L44" s="722"/>
      <c r="M44" s="729">
        <f>M45*$AE45/($AE44-$AE46)</f>
        <v>0</v>
      </c>
      <c r="N44" s="719"/>
      <c r="O44" s="719"/>
      <c r="P44" s="719">
        <f t="shared" ref="P44:AC44" si="22">P45*$AE45/($AE44-$AE46)</f>
        <v>1.65</v>
      </c>
      <c r="Q44" s="719">
        <f t="shared" si="22"/>
        <v>0</v>
      </c>
      <c r="R44" s="719">
        <f t="shared" si="22"/>
        <v>0</v>
      </c>
      <c r="S44" s="719">
        <f t="shared" si="22"/>
        <v>0</v>
      </c>
      <c r="T44" s="719">
        <f t="shared" si="22"/>
        <v>2.1366906474820144</v>
      </c>
      <c r="U44" s="719">
        <f t="shared" si="22"/>
        <v>0</v>
      </c>
      <c r="V44" s="719">
        <f t="shared" si="22"/>
        <v>0.25</v>
      </c>
      <c r="W44" s="719">
        <f t="shared" si="22"/>
        <v>0.58417266187050365</v>
      </c>
      <c r="X44" s="719">
        <f t="shared" si="22"/>
        <v>0</v>
      </c>
      <c r="Y44" s="719">
        <f t="shared" si="22"/>
        <v>3.7553956834532372</v>
      </c>
      <c r="Z44" s="719">
        <f t="shared" si="22"/>
        <v>3.3723021582733811E-2</v>
      </c>
      <c r="AA44" s="719">
        <f t="shared" si="22"/>
        <v>8.9928057553956831E-2</v>
      </c>
      <c r="AB44" s="719">
        <f t="shared" si="22"/>
        <v>0</v>
      </c>
      <c r="AC44" s="720">
        <f t="shared" si="22"/>
        <v>45.323741007194251</v>
      </c>
      <c r="AD44" s="822">
        <f>SUM(AD45:AD45)</f>
        <v>73.42365107913669</v>
      </c>
      <c r="AE44" s="888">
        <f>SUM(AE45:AE45)</f>
        <v>381.83200628068846</v>
      </c>
      <c r="AF44" s="836">
        <f>SUM(AF45:AF45)</f>
        <v>135.97614612154013</v>
      </c>
      <c r="AG44" s="894">
        <v>175</v>
      </c>
      <c r="AH44" s="758">
        <v>19</v>
      </c>
      <c r="AJ44" s="232"/>
      <c r="AY44"/>
    </row>
    <row r="45" spans="1:51" ht="43.2" x14ac:dyDescent="0.3">
      <c r="A45" s="148">
        <f ca="1">OFFSET(A45,-3,0)+1</f>
        <v>30</v>
      </c>
      <c r="B45" s="736" t="str">
        <f ca="1">'Procesy - AS IS'!B103</f>
        <v>Meranie č. 30</v>
      </c>
      <c r="C45" s="739" t="str">
        <f>'Procesy - AS IS'!C103</f>
        <v>Slovnaft, LDPE4 - Nová výrobnňa polyetylénu, 2370-13658/37/2013/Tot,Heg/370190306</v>
      </c>
      <c r="D45" s="796">
        <f>'Procesy - AS IS'!D105+'Procesy - ∆'!D422</f>
        <v>0</v>
      </c>
      <c r="E45" s="721">
        <f>'Procesy - AS IS'!E105+'Procesy - ∆'!E422</f>
        <v>0</v>
      </c>
      <c r="F45" s="721">
        <f>'Procesy - AS IS'!F105+'Procesy - ∆'!F422</f>
        <v>0</v>
      </c>
      <c r="G45" s="721">
        <f>'Procesy - AS IS'!G105+'Procesy - ∆'!G422</f>
        <v>19.600000000000001</v>
      </c>
      <c r="H45" s="721" t="s">
        <v>568</v>
      </c>
      <c r="I45" s="721" t="s">
        <v>568</v>
      </c>
      <c r="J45" s="721" t="s">
        <v>568</v>
      </c>
      <c r="K45" s="721" t="s">
        <v>568</v>
      </c>
      <c r="L45" s="721" t="s">
        <v>568</v>
      </c>
      <c r="M45" s="721">
        <f>'Procesy - AS IS'!M105+'Procesy - ∆'!M422</f>
        <v>0</v>
      </c>
      <c r="N45" s="721" t="s">
        <v>568</v>
      </c>
      <c r="O45" s="721" t="s">
        <v>572</v>
      </c>
      <c r="P45" s="721">
        <f>'Procesy - AS IS'!P105+'Procesy - ∆'!P422</f>
        <v>1.65</v>
      </c>
      <c r="Q45" s="721">
        <f>'Procesy - AS IS'!Q105+'Procesy - ∆'!Q422</f>
        <v>0</v>
      </c>
      <c r="R45" s="721">
        <f>'Procesy - AS IS'!R105+'Procesy - ∆'!R422</f>
        <v>0</v>
      </c>
      <c r="S45" s="721">
        <f>'Procesy - AS IS'!S105+'Procesy - ∆'!S422</f>
        <v>0</v>
      </c>
      <c r="T45" s="721">
        <f>'Procesy - AS IS'!T105+'Procesy - ∆'!T422</f>
        <v>2.1366906474820144</v>
      </c>
      <c r="U45" s="721">
        <f>'Procesy - AS IS'!U105+'Procesy - ∆'!U422</f>
        <v>0</v>
      </c>
      <c r="V45" s="721">
        <f>'Procesy - AS IS'!V105+'Procesy - ∆'!V422</f>
        <v>0.25</v>
      </c>
      <c r="W45" s="721">
        <f>'Procesy - AS IS'!W105+'Procesy - ∆'!W422</f>
        <v>0.58417266187050365</v>
      </c>
      <c r="X45" s="721">
        <f>'Procesy - AS IS'!X105+'Procesy - ∆'!X422</f>
        <v>0</v>
      </c>
      <c r="Y45" s="721">
        <f>'Procesy - AS IS'!Y105+'Procesy - ∆'!Y422</f>
        <v>3.7553956834532372</v>
      </c>
      <c r="Z45" s="721">
        <f>'Procesy - AS IS'!Z105+'Procesy - ∆'!Z422</f>
        <v>3.3723021582733811E-2</v>
      </c>
      <c r="AA45" s="721">
        <f>'Procesy - AS IS'!AA105+'Procesy - ∆'!AA422</f>
        <v>8.9928057553956831E-2</v>
      </c>
      <c r="AB45" s="721">
        <f>'Procesy - AS IS'!AB105+'Procesy - ∆'!AB422</f>
        <v>0</v>
      </c>
      <c r="AC45" s="721">
        <f>'Procesy - AS IS'!AC105+'Procesy - ∆'!AC422</f>
        <v>45.323741007194243</v>
      </c>
      <c r="AD45" s="824">
        <f>SUM(D45:AC45)</f>
        <v>73.42365107913669</v>
      </c>
      <c r="AE45" s="887">
        <f>'Procesy - AS IS'!AG105+'Procesy - ∆'!AF422</f>
        <v>381.83200628068846</v>
      </c>
      <c r="AF45" s="894">
        <f>'Procesy - AS IS'!AH105+'Procesy - ∆'!AG422</f>
        <v>135.97614612154013</v>
      </c>
      <c r="AG45" s="894">
        <f>'Procesy - AS IS'!AI105+'Procesy - ∆'!AH422</f>
        <v>79.662792677265941</v>
      </c>
      <c r="AH45" s="757">
        <f>'Procesy - AS IS'!AJ105+'Procesy - ∆'!AI422</f>
        <v>34.337410636752558</v>
      </c>
      <c r="AJ45" s="232"/>
      <c r="AY45"/>
    </row>
    <row r="46" spans="1:51" x14ac:dyDescent="0.3">
      <c r="A46" s="148"/>
      <c r="B46" s="837"/>
      <c r="C46" s="838" t="s">
        <v>601</v>
      </c>
      <c r="D46" s="839"/>
      <c r="E46" s="839"/>
      <c r="F46" s="839"/>
      <c r="G46" s="840"/>
      <c r="H46" s="840"/>
      <c r="I46" s="840"/>
      <c r="J46" s="840"/>
      <c r="K46" s="840"/>
      <c r="L46" s="840"/>
      <c r="M46" s="840"/>
      <c r="N46" s="840"/>
      <c r="O46" s="840"/>
      <c r="P46" s="840"/>
      <c r="Q46" s="840"/>
      <c r="R46" s="840"/>
      <c r="S46" s="840"/>
      <c r="T46" s="840"/>
      <c r="U46" s="840"/>
      <c r="V46" s="840"/>
      <c r="W46" s="840"/>
      <c r="X46" s="840"/>
      <c r="Y46" s="840"/>
      <c r="Z46" s="840"/>
      <c r="AA46" s="840"/>
      <c r="AB46" s="840"/>
      <c r="AC46" s="840"/>
      <c r="AD46" s="878"/>
      <c r="AE46" s="890">
        <f>'Procesy - AS IS'!AG106+'Procesy - ∆'!AF436</f>
        <v>0</v>
      </c>
      <c r="AF46" s="896">
        <f>'Procesy - AS IS'!AH106+'Procesy - ∆'!AG436</f>
        <v>0</v>
      </c>
      <c r="AG46" s="896">
        <f>'Procesy - AS IS'!AI106+'Procesy - ∆'!AH436</f>
        <v>0</v>
      </c>
      <c r="AH46" s="855">
        <f>'Procesy - AS IS'!AJ106+'Procesy - ∆'!AI436</f>
        <v>0</v>
      </c>
      <c r="AJ46" s="232"/>
      <c r="AY46"/>
    </row>
    <row r="47" spans="1:51" ht="7.2" customHeight="1" thickBot="1" x14ac:dyDescent="0.35">
      <c r="A47" s="148"/>
      <c r="B47" s="845"/>
      <c r="C47" s="846"/>
      <c r="D47" s="847"/>
      <c r="E47" s="848"/>
      <c r="F47" s="848"/>
      <c r="G47" s="849"/>
      <c r="H47" s="849"/>
      <c r="I47" s="849"/>
      <c r="J47" s="849"/>
      <c r="K47" s="849"/>
      <c r="L47" s="849"/>
      <c r="M47" s="849"/>
      <c r="N47" s="849"/>
      <c r="O47" s="849"/>
      <c r="P47" s="849"/>
      <c r="Q47" s="849"/>
      <c r="R47" s="849"/>
      <c r="S47" s="849"/>
      <c r="T47" s="849"/>
      <c r="U47" s="849"/>
      <c r="V47" s="849"/>
      <c r="W47" s="849"/>
      <c r="X47" s="849"/>
      <c r="Y47" s="849"/>
      <c r="Z47" s="849"/>
      <c r="AA47" s="849"/>
      <c r="AB47" s="849"/>
      <c r="AC47" s="848"/>
      <c r="AD47" s="879"/>
      <c r="AE47" s="891"/>
      <c r="AF47" s="891"/>
      <c r="AG47" s="891"/>
      <c r="AH47" s="882"/>
      <c r="AJ47" s="232"/>
      <c r="AY47"/>
    </row>
    <row r="48" spans="1:51" x14ac:dyDescent="0.3">
      <c r="AD48" s="760"/>
      <c r="AE48" s="760"/>
      <c r="AF48" s="760"/>
      <c r="AH48" s="760"/>
      <c r="AY48"/>
    </row>
    <row r="49" spans="2:51" x14ac:dyDescent="0.3">
      <c r="B49" t="s">
        <v>638</v>
      </c>
      <c r="AD49" s="760"/>
      <c r="AE49" s="1030">
        <f>'Procesy - ∆'!AF442</f>
        <v>145.0576386766358</v>
      </c>
      <c r="AF49" s="1030">
        <f>+'Procesy - ∆'!AG442</f>
        <v>49.610504407646339</v>
      </c>
      <c r="AG49" s="1030">
        <f>+'Procesy - ∆'!AH442</f>
        <v>32.174254760714099</v>
      </c>
      <c r="AH49" s="1030">
        <f>+'Procesy - ∆'!AI442</f>
        <v>5.2421702901417229</v>
      </c>
      <c r="AY49"/>
    </row>
    <row r="50" spans="2:51" x14ac:dyDescent="0.3">
      <c r="B50" t="s">
        <v>562</v>
      </c>
      <c r="AE50" s="1049">
        <f>AE4+AE49</f>
        <v>4170.40711195328</v>
      </c>
      <c r="AF50" s="1049">
        <f>AF4+AF49</f>
        <v>1426.3020017198323</v>
      </c>
      <c r="AG50" s="1049">
        <f>AG4+AG49</f>
        <v>1003.6727518643286</v>
      </c>
      <c r="AH50" s="1049">
        <f>AH4+AH49</f>
        <v>112.40471206980763</v>
      </c>
      <c r="AY50"/>
    </row>
    <row r="51" spans="2:51" x14ac:dyDescent="0.3">
      <c r="AH51" s="760"/>
      <c r="AY51"/>
    </row>
    <row r="52" spans="2:51" x14ac:dyDescent="0.3">
      <c r="B52" s="1050" t="str">
        <f>"S prírastkom počtu kontrol so zistením ("&amp;TEXT(AD52,"0%")&amp;" celkového počtu kontrol)"</f>
        <v>S prírastkom počtu kontrol so zistením (40% celkového počtu kontrol)</v>
      </c>
      <c r="C52" s="1050"/>
      <c r="D52" s="1051"/>
      <c r="E52" s="1051"/>
      <c r="F52" s="1051"/>
      <c r="G52" s="1051"/>
      <c r="H52" s="1051"/>
      <c r="I52" s="1051"/>
      <c r="J52" s="1051"/>
      <c r="K52" s="1051"/>
      <c r="L52" s="1051"/>
      <c r="M52" s="1051"/>
      <c r="N52" s="1051"/>
      <c r="O52" s="1051"/>
      <c r="P52" s="1051"/>
      <c r="Q52" s="1051"/>
      <c r="R52" s="1051"/>
      <c r="S52" s="1051"/>
      <c r="T52" s="1051"/>
      <c r="U52" s="1051"/>
      <c r="V52" s="1051"/>
      <c r="W52" s="1051"/>
      <c r="X52" s="1051"/>
      <c r="Y52" s="1051"/>
      <c r="Z52" s="1051"/>
      <c r="AA52" s="1051"/>
      <c r="AB52" s="1051"/>
      <c r="AC52" s="1051"/>
      <c r="AD52" s="1052">
        <f>Faktory!$D$18</f>
        <v>0.4</v>
      </c>
      <c r="AE52" s="1053">
        <f>AE4+AE49</f>
        <v>4170.40711195328</v>
      </c>
      <c r="AF52" s="1053">
        <f>AD52*AE50</f>
        <v>1668.1628447813121</v>
      </c>
      <c r="AG52" s="1053" t="s">
        <v>319</v>
      </c>
      <c r="AH52" s="1053" t="s">
        <v>319</v>
      </c>
      <c r="AY52"/>
    </row>
    <row r="53" spans="2:51" x14ac:dyDescent="0.3">
      <c r="B53" t="s">
        <v>566</v>
      </c>
      <c r="AE53" s="883">
        <f>AE52/'Procesy - AS IS'!AG4-1</f>
        <v>0.56841185105426106</v>
      </c>
      <c r="AF53" s="883">
        <f>AF52/'Procesy - AS IS'!AH4-1</f>
        <v>0.85351427197923568</v>
      </c>
      <c r="AG53" s="883" t="s">
        <v>319</v>
      </c>
      <c r="AH53" s="883" t="s">
        <v>319</v>
      </c>
      <c r="AY53"/>
    </row>
    <row r="58" spans="2:51" x14ac:dyDescent="0.3">
      <c r="AY58"/>
    </row>
  </sheetData>
  <conditionalFormatting sqref="D12:AD12">
    <cfRule type="cellIs" dxfId="61" priority="249" operator="equal">
      <formula>"N"</formula>
    </cfRule>
    <cfRule type="cellIs" dxfId="60" priority="250" operator="equal">
      <formula>"A"</formula>
    </cfRule>
  </conditionalFormatting>
  <conditionalFormatting sqref="F43:AA43">
    <cfRule type="cellIs" dxfId="59" priority="25" operator="equal">
      <formula>"N"</formula>
    </cfRule>
    <cfRule type="cellIs" dxfId="58" priority="26" operator="equal">
      <formula>"A"</formula>
    </cfRule>
  </conditionalFormatting>
  <conditionalFormatting sqref="AE43">
    <cfRule type="cellIs" dxfId="57" priority="17" operator="equal">
      <formula>"N"</formula>
    </cfRule>
    <cfRule type="cellIs" dxfId="56" priority="18" operator="equal">
      <formula>"A"</formula>
    </cfRule>
  </conditionalFormatting>
  <conditionalFormatting sqref="F46:AA46">
    <cfRule type="cellIs" dxfId="55" priority="9" operator="equal">
      <formula>"N"</formula>
    </cfRule>
    <cfRule type="cellIs" dxfId="54" priority="10" operator="equal">
      <formula>"A"</formula>
    </cfRule>
  </conditionalFormatting>
  <conditionalFormatting sqref="AC43:AD43">
    <cfRule type="cellIs" dxfId="53" priority="27" operator="equal">
      <formula>"N"</formula>
    </cfRule>
    <cfRule type="cellIs" dxfId="52" priority="28" operator="equal">
      <formula>"A"</formula>
    </cfRule>
  </conditionalFormatting>
  <conditionalFormatting sqref="E43">
    <cfRule type="cellIs" dxfId="51" priority="19" operator="equal">
      <formula>"N"</formula>
    </cfRule>
    <cfRule type="cellIs" dxfId="50" priority="20" operator="equal">
      <formula>"A"</formula>
    </cfRule>
  </conditionalFormatting>
  <conditionalFormatting sqref="AB43">
    <cfRule type="cellIs" dxfId="49" priority="23" operator="equal">
      <formula>"N"</formula>
    </cfRule>
    <cfRule type="cellIs" dxfId="48" priority="24" operator="equal">
      <formula>"A"</formula>
    </cfRule>
  </conditionalFormatting>
  <conditionalFormatting sqref="D43">
    <cfRule type="cellIs" dxfId="47" priority="21" operator="equal">
      <formula>"N"</formula>
    </cfRule>
    <cfRule type="cellIs" dxfId="46" priority="22" operator="equal">
      <formula>"A"</formula>
    </cfRule>
  </conditionalFormatting>
  <conditionalFormatting sqref="AC46:AD46">
    <cfRule type="cellIs" dxfId="45" priority="11" operator="equal">
      <formula>"N"</formula>
    </cfRule>
    <cfRule type="cellIs" dxfId="44" priority="12" operator="equal">
      <formula>"A"</formula>
    </cfRule>
  </conditionalFormatting>
  <conditionalFormatting sqref="AC21:AD21">
    <cfRule type="cellIs" dxfId="43" priority="205" operator="equal">
      <formula>"N"</formula>
    </cfRule>
    <cfRule type="cellIs" dxfId="42" priority="206" operator="equal">
      <formula>"A"</formula>
    </cfRule>
  </conditionalFormatting>
  <conditionalFormatting sqref="D21">
    <cfRule type="cellIs" dxfId="41" priority="153" operator="equal">
      <formula>"N"</formula>
    </cfRule>
    <cfRule type="cellIs" dxfId="40" priority="154" operator="equal">
      <formula>"A"</formula>
    </cfRule>
  </conditionalFormatting>
  <conditionalFormatting sqref="E21">
    <cfRule type="cellIs" dxfId="39" priority="151" operator="equal">
      <formula>"N"</formula>
    </cfRule>
    <cfRule type="cellIs" dxfId="38" priority="152" operator="equal">
      <formula>"A"</formula>
    </cfRule>
  </conditionalFormatting>
  <conditionalFormatting sqref="F21:AA21">
    <cfRule type="cellIs" dxfId="37" priority="157" operator="equal">
      <formula>"N"</formula>
    </cfRule>
    <cfRule type="cellIs" dxfId="36" priority="158" operator="equal">
      <formula>"A"</formula>
    </cfRule>
  </conditionalFormatting>
  <conditionalFormatting sqref="AB21">
    <cfRule type="cellIs" dxfId="35" priority="155" operator="equal">
      <formula>"N"</formula>
    </cfRule>
    <cfRule type="cellIs" dxfId="34" priority="156" operator="equal">
      <formula>"A"</formula>
    </cfRule>
  </conditionalFormatting>
  <conditionalFormatting sqref="AC30:AD30">
    <cfRule type="cellIs" dxfId="33" priority="131" operator="equal">
      <formula>"N"</formula>
    </cfRule>
    <cfRule type="cellIs" dxfId="32" priority="132" operator="equal">
      <formula>"A"</formula>
    </cfRule>
  </conditionalFormatting>
  <conditionalFormatting sqref="D30">
    <cfRule type="cellIs" dxfId="31" priority="109" operator="equal">
      <formula>"N"</formula>
    </cfRule>
    <cfRule type="cellIs" dxfId="30" priority="110" operator="equal">
      <formula>"A"</formula>
    </cfRule>
  </conditionalFormatting>
  <conditionalFormatting sqref="E30">
    <cfRule type="cellIs" dxfId="29" priority="107" operator="equal">
      <formula>"N"</formula>
    </cfRule>
    <cfRule type="cellIs" dxfId="28" priority="108" operator="equal">
      <formula>"A"</formula>
    </cfRule>
  </conditionalFormatting>
  <conditionalFormatting sqref="F30:AA30">
    <cfRule type="cellIs" dxfId="27" priority="113" operator="equal">
      <formula>"N"</formula>
    </cfRule>
    <cfRule type="cellIs" dxfId="26" priority="114" operator="equal">
      <formula>"A"</formula>
    </cfRule>
  </conditionalFormatting>
  <conditionalFormatting sqref="AB30">
    <cfRule type="cellIs" dxfId="25" priority="111" operator="equal">
      <formula>"N"</formula>
    </cfRule>
    <cfRule type="cellIs" dxfId="24" priority="112" operator="equal">
      <formula>"A"</formula>
    </cfRule>
  </conditionalFormatting>
  <conditionalFormatting sqref="AE36">
    <cfRule type="cellIs" dxfId="23" priority="63" operator="equal">
      <formula>"N"</formula>
    </cfRule>
    <cfRule type="cellIs" dxfId="22" priority="64" operator="equal">
      <formula>"A"</formula>
    </cfRule>
  </conditionalFormatting>
  <conditionalFormatting sqref="AE21">
    <cfRule type="cellIs" dxfId="21" priority="89" operator="equal">
      <formula>"N"</formula>
    </cfRule>
    <cfRule type="cellIs" dxfId="20" priority="90" operator="equal">
      <formula>"A"</formula>
    </cfRule>
  </conditionalFormatting>
  <conditionalFormatting sqref="AE30">
    <cfRule type="cellIs" dxfId="19" priority="87" operator="equal">
      <formula>"N"</formula>
    </cfRule>
    <cfRule type="cellIs" dxfId="18" priority="88" operator="equal">
      <formula>"A"</formula>
    </cfRule>
  </conditionalFormatting>
  <conditionalFormatting sqref="AC36:AD36">
    <cfRule type="cellIs" dxfId="17" priority="85" operator="equal">
      <formula>"N"</formula>
    </cfRule>
    <cfRule type="cellIs" dxfId="16" priority="86" operator="equal">
      <formula>"A"</formula>
    </cfRule>
  </conditionalFormatting>
  <conditionalFormatting sqref="F36:AA36">
    <cfRule type="cellIs" dxfId="15" priority="75" operator="equal">
      <formula>"N"</formula>
    </cfRule>
    <cfRule type="cellIs" dxfId="14" priority="76" operator="equal">
      <formula>"A"</formula>
    </cfRule>
  </conditionalFormatting>
  <conditionalFormatting sqref="AB36">
    <cfRule type="cellIs" dxfId="13" priority="73" operator="equal">
      <formula>"N"</formula>
    </cfRule>
    <cfRule type="cellIs" dxfId="12" priority="74" operator="equal">
      <formula>"A"</formula>
    </cfRule>
  </conditionalFormatting>
  <conditionalFormatting sqref="D36">
    <cfRule type="cellIs" dxfId="11" priority="71" operator="equal">
      <formula>"N"</formula>
    </cfRule>
    <cfRule type="cellIs" dxfId="10" priority="72" operator="equal">
      <formula>"A"</formula>
    </cfRule>
  </conditionalFormatting>
  <conditionalFormatting sqref="E36">
    <cfRule type="cellIs" dxfId="9" priority="69" operator="equal">
      <formula>"N"</formula>
    </cfRule>
    <cfRule type="cellIs" dxfId="8" priority="70" operator="equal">
      <formula>"A"</formula>
    </cfRule>
  </conditionalFormatting>
  <conditionalFormatting sqref="AB46">
    <cfRule type="cellIs" dxfId="7" priority="7" operator="equal">
      <formula>"N"</formula>
    </cfRule>
    <cfRule type="cellIs" dxfId="6" priority="8" operator="equal">
      <formula>"A"</formula>
    </cfRule>
  </conditionalFormatting>
  <conditionalFormatting sqref="D46">
    <cfRule type="cellIs" dxfId="5" priority="5" operator="equal">
      <formula>"N"</formula>
    </cfRule>
    <cfRule type="cellIs" dxfId="4" priority="6" operator="equal">
      <formula>"A"</formula>
    </cfRule>
  </conditionalFormatting>
  <conditionalFormatting sqref="E46">
    <cfRule type="cellIs" dxfId="3" priority="3" operator="equal">
      <formula>"N"</formula>
    </cfRule>
    <cfRule type="cellIs" dxfId="2" priority="4" operator="equal">
      <formula>"A"</formula>
    </cfRule>
  </conditionalFormatting>
  <conditionalFormatting sqref="AE46">
    <cfRule type="cellIs" dxfId="1" priority="1" operator="equal">
      <formula>"N"</formula>
    </cfRule>
    <cfRule type="cellIs" dxfId="0" priority="2" operator="equal">
      <formula>"A"</formula>
    </cfRule>
  </conditionalFormatting>
  <pageMargins left="0.7" right="0.7" top="0.75" bottom="0.75" header="0.3" footer="0.3"/>
  <pageSetup paperSize="9" scale="67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showGridLines="0" zoomScale="80" zoomScaleNormal="80" workbookViewId="0">
      <pane xSplit="1" ySplit="1" topLeftCell="B11" activePane="bottomRight" state="frozen"/>
      <selection pane="topRight" activeCell="B1" sqref="B1"/>
      <selection pane="bottomLeft" activeCell="A2" sqref="A2"/>
      <selection pane="bottomRight" activeCell="J28" sqref="J28"/>
    </sheetView>
  </sheetViews>
  <sheetFormatPr defaultRowHeight="13.8" x14ac:dyDescent="0.25"/>
  <cols>
    <col min="1" max="1" width="26.21875" style="81" customWidth="1"/>
    <col min="2" max="2" width="8.77734375" style="1035" customWidth="1"/>
    <col min="3" max="3" width="8.77734375" style="926" customWidth="1"/>
    <col min="4" max="4" width="13" style="926" customWidth="1"/>
    <col min="5" max="5" width="13.77734375" style="926" customWidth="1"/>
    <col min="6" max="6" width="11.21875" style="81" bestFit="1" customWidth="1"/>
    <col min="7" max="7" width="12.88671875" style="81" customWidth="1"/>
    <col min="8" max="16384" width="8.88671875" style="81"/>
  </cols>
  <sheetData>
    <row r="1" spans="1:7" s="1031" customFormat="1" ht="41.4" x14ac:dyDescent="0.25">
      <c r="A1" s="1031" t="s">
        <v>622</v>
      </c>
      <c r="B1" s="1032" t="s">
        <v>623</v>
      </c>
      <c r="C1" s="1033" t="s">
        <v>624</v>
      </c>
      <c r="D1" s="1033" t="s">
        <v>626</v>
      </c>
      <c r="E1" s="1033" t="s">
        <v>777</v>
      </c>
      <c r="F1" s="1034" t="s">
        <v>625</v>
      </c>
      <c r="G1" s="1034" t="s">
        <v>627</v>
      </c>
    </row>
    <row r="2" spans="1:7" x14ac:dyDescent="0.25">
      <c r="A2" s="81" t="str">
        <f ca="1">'Procesy - AS IS'!B58</f>
        <v>Meranie č. 17</v>
      </c>
      <c r="B2" s="1035">
        <f>'Procesy - AS IS'!AD60</f>
        <v>26.120447976878612</v>
      </c>
      <c r="C2" s="926">
        <f>'Procesy - AS IS'!AG60</f>
        <v>40</v>
      </c>
      <c r="D2" s="926">
        <f>C2</f>
        <v>40</v>
      </c>
      <c r="E2" s="926">
        <f t="shared" ref="E2:E29" ca="1" si="0">C2+OFFSET(E2,1,0)</f>
        <v>2420</v>
      </c>
      <c r="F2" s="1035">
        <f t="shared" ref="F2:F31" si="1">B2*C2</f>
        <v>1044.8179190751446</v>
      </c>
      <c r="G2" s="81">
        <f t="shared" ref="G2:G31" si="2">C2*(B2-$B$36)^2</f>
        <v>62460.24766201264</v>
      </c>
    </row>
    <row r="3" spans="1:7" x14ac:dyDescent="0.25">
      <c r="A3" s="81" t="str">
        <f ca="1">'Procesy - AS IS'!B38</f>
        <v>Meranie č. 11</v>
      </c>
      <c r="B3" s="1035">
        <f>'Procesy - AS IS'!AD40</f>
        <v>29.25</v>
      </c>
      <c r="C3" s="926">
        <f>'Procesy - AS IS'!AG40/2</f>
        <v>18</v>
      </c>
      <c r="D3" s="926">
        <f t="shared" ref="D3:D31" ca="1" si="3">C3+OFFSET(D3,-1,0)</f>
        <v>58</v>
      </c>
      <c r="E3" s="926">
        <f t="shared" ca="1" si="0"/>
        <v>2380</v>
      </c>
      <c r="F3" s="1035">
        <f t="shared" si="1"/>
        <v>526.5</v>
      </c>
      <c r="G3" s="81">
        <f t="shared" si="2"/>
        <v>23831.391070910584</v>
      </c>
    </row>
    <row r="4" spans="1:7" x14ac:dyDescent="0.25">
      <c r="A4" s="81" t="str">
        <f ca="1">'Procesy - AS IS'!B41</f>
        <v>Meranie č. 12</v>
      </c>
      <c r="B4" s="1035">
        <f>'Procesy - AS IS'!AD43</f>
        <v>29.25</v>
      </c>
      <c r="C4" s="926">
        <f>'Procesy - AS IS'!AG40/2</f>
        <v>18</v>
      </c>
      <c r="D4" s="926">
        <f t="shared" ca="1" si="3"/>
        <v>76</v>
      </c>
      <c r="E4" s="926">
        <f t="shared" ca="1" si="0"/>
        <v>2362</v>
      </c>
      <c r="F4" s="1035">
        <f t="shared" si="1"/>
        <v>526.5</v>
      </c>
      <c r="G4" s="81">
        <f t="shared" si="2"/>
        <v>23831.391070910584</v>
      </c>
    </row>
    <row r="5" spans="1:7" x14ac:dyDescent="0.25">
      <c r="A5" s="81" t="str">
        <f ca="1">'Procesy - AS IS'!B52</f>
        <v>Meranie č. 15</v>
      </c>
      <c r="B5" s="1035">
        <f>'Procesy - AS IS'!AD54</f>
        <v>32.921734446078602</v>
      </c>
      <c r="C5" s="926">
        <f>'Procesy - AS IS'!AG51/2</f>
        <v>84.5</v>
      </c>
      <c r="D5" s="926">
        <f t="shared" ca="1" si="3"/>
        <v>160.5</v>
      </c>
      <c r="E5" s="926">
        <f t="shared" ca="1" si="0"/>
        <v>2344</v>
      </c>
      <c r="F5" s="1035">
        <f t="shared" si="1"/>
        <v>2781.886560693642</v>
      </c>
      <c r="G5" s="81">
        <f t="shared" si="2"/>
        <v>90435.770519556027</v>
      </c>
    </row>
    <row r="6" spans="1:7" x14ac:dyDescent="0.25">
      <c r="A6" s="81" t="str">
        <f ca="1">'Procesy - AS IS'!B55</f>
        <v>Meranie č. 16</v>
      </c>
      <c r="B6" s="1035">
        <f>'Procesy - AS IS'!AD57</f>
        <v>33.885998715478486</v>
      </c>
      <c r="C6" s="926">
        <f>'Procesy - AS IS'!AG57</f>
        <v>45</v>
      </c>
      <c r="D6" s="926">
        <f t="shared" ca="1" si="3"/>
        <v>205.5</v>
      </c>
      <c r="E6" s="926">
        <f t="shared" ca="1" si="0"/>
        <v>2259.5</v>
      </c>
      <c r="F6" s="1035">
        <f t="shared" si="1"/>
        <v>1524.8699421965318</v>
      </c>
      <c r="G6" s="81">
        <f t="shared" si="2"/>
        <v>45363.804689317338</v>
      </c>
    </row>
    <row r="7" spans="1:7" x14ac:dyDescent="0.25">
      <c r="A7" s="81" t="str">
        <f ca="1">'Procesy - AS IS'!B72</f>
        <v>Meranie č. 21</v>
      </c>
      <c r="B7" s="1035">
        <f>'Procesy - AS IS'!AD74</f>
        <v>36.149515738498792</v>
      </c>
      <c r="C7" s="926">
        <f>'Procesy - AS IS'!AG74/2</f>
        <v>206.5</v>
      </c>
      <c r="D7" s="926">
        <f t="shared" ca="1" si="3"/>
        <v>412</v>
      </c>
      <c r="E7" s="926">
        <f t="shared" ca="1" si="0"/>
        <v>2214.5</v>
      </c>
      <c r="F7" s="1035">
        <f t="shared" si="1"/>
        <v>7464.8750000000009</v>
      </c>
      <c r="G7" s="81">
        <f t="shared" si="2"/>
        <v>179546.20653271451</v>
      </c>
    </row>
    <row r="8" spans="1:7" x14ac:dyDescent="0.25">
      <c r="A8" s="81" t="str">
        <f ca="1">'Procesy - AS IS'!B75</f>
        <v>Meranie č. 22</v>
      </c>
      <c r="B8" s="1035">
        <f>'Procesy - AS IS'!AD77</f>
        <v>37.314164648910413</v>
      </c>
      <c r="C8" s="926">
        <f>'Procesy - AS IS'!AG74/2</f>
        <v>206.5</v>
      </c>
      <c r="D8" s="926">
        <f t="shared" ca="1" si="3"/>
        <v>618.5</v>
      </c>
      <c r="E8" s="926">
        <f t="shared" ca="1" si="0"/>
        <v>2008</v>
      </c>
      <c r="F8" s="1035">
        <f t="shared" si="1"/>
        <v>7705.375</v>
      </c>
      <c r="G8" s="81">
        <f t="shared" si="2"/>
        <v>165643.13927045971</v>
      </c>
    </row>
    <row r="9" spans="1:7" x14ac:dyDescent="0.25">
      <c r="A9" s="81" t="str">
        <f ca="1">'Procesy - AS IS'!B35</f>
        <v>Meranie č. 10</v>
      </c>
      <c r="B9" s="1035">
        <f>'Procesy - AS IS'!AD37</f>
        <v>38.267543859649123</v>
      </c>
      <c r="C9" s="926">
        <f>'Procesy - AS IS'!AG37</f>
        <v>171</v>
      </c>
      <c r="D9" s="926">
        <f t="shared" ca="1" si="3"/>
        <v>789.5</v>
      </c>
      <c r="E9" s="926">
        <f t="shared" ca="1" si="0"/>
        <v>1801.5</v>
      </c>
      <c r="F9" s="1035">
        <f t="shared" si="1"/>
        <v>6543.75</v>
      </c>
      <c r="G9" s="81">
        <f t="shared" si="2"/>
        <v>128087.77693725449</v>
      </c>
    </row>
    <row r="10" spans="1:7" x14ac:dyDescent="0.25">
      <c r="A10" s="81" t="str">
        <f ca="1">'Procesy - AS IS'!B89</f>
        <v>Meranie č. 26</v>
      </c>
      <c r="B10" s="1035">
        <f>'Procesy - AS IS'!AD91</f>
        <v>41.245614035087712</v>
      </c>
      <c r="C10" s="926">
        <f>'Procesy - AS IS'!AG91/2</f>
        <v>57</v>
      </c>
      <c r="D10" s="926">
        <f t="shared" ca="1" si="3"/>
        <v>846.5</v>
      </c>
      <c r="E10" s="926">
        <f t="shared" ca="1" si="0"/>
        <v>1630.5</v>
      </c>
      <c r="F10" s="1035">
        <f t="shared" si="1"/>
        <v>2350.9999999999995</v>
      </c>
      <c r="G10" s="81">
        <f t="shared" si="2"/>
        <v>33909.744752962368</v>
      </c>
    </row>
    <row r="11" spans="1:7" x14ac:dyDescent="0.25">
      <c r="A11" s="81" t="str">
        <f ca="1">'Procesy - AS IS'!B98</f>
        <v>Meranie č. 29</v>
      </c>
      <c r="B11" s="1035">
        <f>'Procesy - AS IS'!AD100</f>
        <v>43.88</v>
      </c>
      <c r="C11" s="926">
        <f>'Procesy - AS IS'!AG97/2</f>
        <v>21</v>
      </c>
      <c r="D11" s="926">
        <f t="shared" ca="1" si="3"/>
        <v>867.5</v>
      </c>
      <c r="E11" s="926">
        <f t="shared" ca="1" si="0"/>
        <v>1573.5</v>
      </c>
      <c r="F11" s="1035">
        <f t="shared" si="1"/>
        <v>921.48</v>
      </c>
      <c r="G11" s="81">
        <f t="shared" si="2"/>
        <v>9940.1103586252739</v>
      </c>
    </row>
    <row r="12" spans="1:7" x14ac:dyDescent="0.25">
      <c r="A12" s="81" t="str">
        <f ca="1">'Procesy - AS IS'!B95</f>
        <v>Meranie č. 28</v>
      </c>
      <c r="B12" s="1035">
        <f>'Procesy - AS IS'!AD97</f>
        <v>44</v>
      </c>
      <c r="C12" s="926">
        <f>'Procesy - AS IS'!AG97/2</f>
        <v>21</v>
      </c>
      <c r="D12" s="926">
        <f t="shared" ca="1" si="3"/>
        <v>888.5</v>
      </c>
      <c r="E12" s="926">
        <f t="shared" ca="1" si="0"/>
        <v>1552.5</v>
      </c>
      <c r="F12" s="1035">
        <f t="shared" si="1"/>
        <v>924</v>
      </c>
      <c r="G12" s="81">
        <f t="shared" si="2"/>
        <v>9830.7607751056294</v>
      </c>
    </row>
    <row r="13" spans="1:7" x14ac:dyDescent="0.25">
      <c r="A13" s="81" t="str">
        <f ca="1">'Procesy - AS IS'!B92</f>
        <v>Meranie č. 27</v>
      </c>
      <c r="B13" s="1035">
        <f>'Procesy - AS IS'!AD94</f>
        <v>45.754385964912281</v>
      </c>
      <c r="C13" s="926">
        <f>'Procesy - AS IS'!AG91/2</f>
        <v>57</v>
      </c>
      <c r="D13" s="926">
        <f t="shared" ca="1" si="3"/>
        <v>945.5</v>
      </c>
      <c r="E13" s="926">
        <f t="shared" ca="1" si="0"/>
        <v>1531.5</v>
      </c>
      <c r="F13" s="1035">
        <f t="shared" si="1"/>
        <v>2608</v>
      </c>
      <c r="G13" s="81">
        <f t="shared" si="2"/>
        <v>22531.662941633178</v>
      </c>
    </row>
    <row r="14" spans="1:7" x14ac:dyDescent="0.25">
      <c r="A14" s="81" t="str">
        <f ca="1">'Procesy - AS IS'!B32</f>
        <v>Meranie č. 9</v>
      </c>
      <c r="B14" s="1035">
        <f>'Procesy - AS IS'!AD34</f>
        <v>46.246503496503493</v>
      </c>
      <c r="C14" s="926">
        <f>'Procesy - AS IS'!AG31/2</f>
        <v>71.5</v>
      </c>
      <c r="D14" s="926">
        <f t="shared" ca="1" si="3"/>
        <v>1017</v>
      </c>
      <c r="E14" s="926">
        <f t="shared" ca="1" si="0"/>
        <v>1474.5</v>
      </c>
      <c r="F14" s="1035">
        <f t="shared" si="1"/>
        <v>3306.6249999999995</v>
      </c>
      <c r="G14" s="81">
        <f t="shared" si="2"/>
        <v>26881.568273952413</v>
      </c>
    </row>
    <row r="15" spans="1:7" x14ac:dyDescent="0.25">
      <c r="A15" s="81" t="str">
        <f ca="1">'Procesy - AS IS'!B44</f>
        <v>Meranie č. 13</v>
      </c>
      <c r="B15" s="1035">
        <f>'Procesy - AS IS'!AD46</f>
        <v>46.75</v>
      </c>
      <c r="C15" s="926">
        <f>'Procesy - AS IS'!AG46</f>
        <v>46</v>
      </c>
      <c r="D15" s="926">
        <f t="shared" ca="1" si="3"/>
        <v>1063</v>
      </c>
      <c r="E15" s="926">
        <f t="shared" ca="1" si="0"/>
        <v>1403</v>
      </c>
      <c r="F15" s="1035">
        <f t="shared" si="1"/>
        <v>2150.5</v>
      </c>
      <c r="G15" s="81">
        <f t="shared" si="2"/>
        <v>16407.92689021731</v>
      </c>
    </row>
    <row r="16" spans="1:7" x14ac:dyDescent="0.25">
      <c r="A16" s="81" t="str">
        <f ca="1">'Procesy - AS IS'!B49</f>
        <v>Meranie č. 14</v>
      </c>
      <c r="B16" s="1035">
        <f>'Procesy - AS IS'!AD51</f>
        <v>49.716113144303456</v>
      </c>
      <c r="C16" s="926">
        <f>'Procesy - AS IS'!AG51/2</f>
        <v>84.5</v>
      </c>
      <c r="D16" s="926">
        <f t="shared" ca="1" si="3"/>
        <v>1147.5</v>
      </c>
      <c r="E16" s="926">
        <f t="shared" ca="1" si="0"/>
        <v>1357</v>
      </c>
      <c r="F16" s="1035">
        <f t="shared" si="1"/>
        <v>4201.0115606936424</v>
      </c>
      <c r="G16" s="81">
        <f t="shared" si="2"/>
        <v>21416.847127161589</v>
      </c>
    </row>
    <row r="17" spans="1:7" x14ac:dyDescent="0.25">
      <c r="A17" s="81" t="str">
        <f ca="1">'Procesy - AS IS'!B78</f>
        <v>Meranie č. 23</v>
      </c>
      <c r="B17" s="1035">
        <f>'Procesy - AS IS'!AD80</f>
        <v>51.120192307692307</v>
      </c>
      <c r="C17" s="926">
        <f>'Procesy - AS IS'!AG80/2</f>
        <v>52</v>
      </c>
      <c r="D17" s="926">
        <f t="shared" ca="1" si="3"/>
        <v>1199.5</v>
      </c>
      <c r="E17" s="926">
        <f t="shared" ca="1" si="0"/>
        <v>1272.5</v>
      </c>
      <c r="F17" s="1035">
        <f t="shared" si="1"/>
        <v>2658.25</v>
      </c>
      <c r="G17" s="81">
        <f t="shared" si="2"/>
        <v>10957.373241014147</v>
      </c>
    </row>
    <row r="18" spans="1:7" x14ac:dyDescent="0.25">
      <c r="A18" s="81" t="str">
        <f ca="1">'Procesy - AS IS'!B67</f>
        <v>Meranie č. 20</v>
      </c>
      <c r="B18" s="1035">
        <f>'Procesy - AS IS'!AD69</f>
        <v>53.85503669546015</v>
      </c>
      <c r="C18" s="926">
        <f>'Procesy - AS IS'!AG69</f>
        <v>89</v>
      </c>
      <c r="D18" s="926">
        <f t="shared" ca="1" si="3"/>
        <v>1288.5</v>
      </c>
      <c r="E18" s="926">
        <f t="shared" ca="1" si="0"/>
        <v>1220.5</v>
      </c>
      <c r="F18" s="1035">
        <f t="shared" si="1"/>
        <v>4793.0982658959538</v>
      </c>
      <c r="G18" s="81">
        <f t="shared" si="2"/>
        <v>12353.133021408115</v>
      </c>
    </row>
    <row r="19" spans="1:7" x14ac:dyDescent="0.25">
      <c r="A19" s="81" t="str">
        <f ca="1">'Procesy - AS IS'!B29</f>
        <v>Meranie č. 8</v>
      </c>
      <c r="B19" s="1035">
        <f>'Procesy - AS IS'!AD31</f>
        <v>55.498251748251747</v>
      </c>
      <c r="C19" s="926">
        <f>'Procesy - AS IS'!AG31/2</f>
        <v>71.5</v>
      </c>
      <c r="D19" s="926">
        <f t="shared" ca="1" si="3"/>
        <v>1360</v>
      </c>
      <c r="E19" s="926">
        <f t="shared" ca="1" si="0"/>
        <v>1131.5</v>
      </c>
      <c r="F19" s="1035">
        <f t="shared" si="1"/>
        <v>3968.125</v>
      </c>
      <c r="G19" s="81">
        <f t="shared" si="2"/>
        <v>7348.8381944504263</v>
      </c>
    </row>
    <row r="20" spans="1:7" x14ac:dyDescent="0.25">
      <c r="A20" s="81" t="str">
        <f ca="1">'Procesy - AS IS'!B26</f>
        <v>Meranie č. 7</v>
      </c>
      <c r="B20" s="1035">
        <f>'Procesy - AS IS'!AD28</f>
        <v>60.00714285714286</v>
      </c>
      <c r="C20" s="926">
        <f>'Procesy - AS IS'!AG28</f>
        <v>35</v>
      </c>
      <c r="D20" s="926">
        <f t="shared" ca="1" si="3"/>
        <v>1395</v>
      </c>
      <c r="E20" s="926">
        <f t="shared" ca="1" si="0"/>
        <v>1060</v>
      </c>
      <c r="F20" s="1035">
        <f t="shared" si="1"/>
        <v>2100.25</v>
      </c>
      <c r="G20" s="81">
        <f t="shared" si="2"/>
        <v>1109.077455778136</v>
      </c>
    </row>
    <row r="21" spans="1:7" ht="14.4" x14ac:dyDescent="0.3">
      <c r="A21" s="81" t="str">
        <f ca="1">'Procesy - AS IS'!B21</f>
        <v>Meranie č. 6</v>
      </c>
      <c r="B21" s="1035">
        <f>'Procesy - AS IS'!AD23</f>
        <v>66</v>
      </c>
      <c r="C21" s="926">
        <f>'Procesy - AS IS'!AG23</f>
        <v>4</v>
      </c>
      <c r="D21" s="1036">
        <f t="shared" ca="1" si="3"/>
        <v>1399</v>
      </c>
      <c r="E21" s="926">
        <f t="shared" ca="1" si="0"/>
        <v>1025</v>
      </c>
      <c r="F21" s="1035">
        <f t="shared" si="1"/>
        <v>264</v>
      </c>
      <c r="G21" s="81">
        <f t="shared" si="2"/>
        <v>0.52897711178039974</v>
      </c>
    </row>
    <row r="22" spans="1:7" x14ac:dyDescent="0.25">
      <c r="A22" s="81" t="str">
        <f ca="1">'Procesy - AS IS'!B81</f>
        <v>Meranie č. 24</v>
      </c>
      <c r="B22" s="1035">
        <f>'Procesy - AS IS'!AD83</f>
        <v>73.572115384615373</v>
      </c>
      <c r="C22" s="926">
        <f>'Procesy - AS IS'!AG80/2</f>
        <v>52</v>
      </c>
      <c r="D22" s="926">
        <f t="shared" ca="1" si="3"/>
        <v>1451</v>
      </c>
      <c r="E22" s="926">
        <f t="shared" ca="1" si="0"/>
        <v>1021</v>
      </c>
      <c r="F22" s="1035">
        <f t="shared" si="1"/>
        <v>3825.7499999999995</v>
      </c>
      <c r="G22" s="81">
        <f t="shared" si="2"/>
        <v>3274.7747102004582</v>
      </c>
    </row>
    <row r="23" spans="1:7" x14ac:dyDescent="0.25">
      <c r="A23" s="81" t="str">
        <f ca="1">'Procesy - AS IS'!B9</f>
        <v>Meranie č. 2</v>
      </c>
      <c r="B23" s="1035">
        <f>'Procesy - AS IS'!AD11</f>
        <v>81.986486486486498</v>
      </c>
      <c r="C23" s="926">
        <f>'Procesy - AS IS'!AG11</f>
        <v>148</v>
      </c>
      <c r="D23" s="926">
        <f t="shared" ca="1" si="3"/>
        <v>1599</v>
      </c>
      <c r="E23" s="926">
        <f t="shared" ca="1" si="0"/>
        <v>969</v>
      </c>
      <c r="F23" s="1035">
        <f t="shared" si="1"/>
        <v>12134.000000000002</v>
      </c>
      <c r="G23" s="81">
        <f t="shared" si="2"/>
        <v>39564.410208937989</v>
      </c>
    </row>
    <row r="24" spans="1:7" x14ac:dyDescent="0.25">
      <c r="A24" s="81" t="str">
        <f>'Procesy - AS IS'!B6</f>
        <v>Meranie č. 1</v>
      </c>
      <c r="B24" s="1035">
        <f>'Procesy - AS IS'!AD8</f>
        <v>82.265306122448976</v>
      </c>
      <c r="C24" s="926">
        <f>'Procesy - AS IS'!AG8</f>
        <v>196</v>
      </c>
      <c r="D24" s="926">
        <f t="shared" ca="1" si="3"/>
        <v>1795</v>
      </c>
      <c r="E24" s="926">
        <f t="shared" ca="1" si="0"/>
        <v>821</v>
      </c>
      <c r="F24" s="1035">
        <f t="shared" si="1"/>
        <v>16124</v>
      </c>
      <c r="G24" s="81">
        <f t="shared" si="2"/>
        <v>54198.374106115392</v>
      </c>
    </row>
    <row r="25" spans="1:7" x14ac:dyDescent="0.25">
      <c r="A25" s="81" t="str">
        <f ca="1">'Procesy - AS IS'!B12</f>
        <v>Meranie č. 3</v>
      </c>
      <c r="B25" s="1035">
        <f>'Procesy - AS IS'!AD14</f>
        <v>83.59910872191773</v>
      </c>
      <c r="C25" s="926">
        <f>'Procesy - AS IS'!AG14/2</f>
        <v>95.5</v>
      </c>
      <c r="D25" s="926">
        <f t="shared" ca="1" si="3"/>
        <v>1890.5</v>
      </c>
      <c r="E25" s="926">
        <f t="shared" ca="1" si="0"/>
        <v>625</v>
      </c>
      <c r="F25" s="1035">
        <f t="shared" si="1"/>
        <v>7983.7148829431435</v>
      </c>
      <c r="G25" s="81">
        <f t="shared" si="2"/>
        <v>30814.11087774792</v>
      </c>
    </row>
    <row r="26" spans="1:7" x14ac:dyDescent="0.25">
      <c r="A26" s="81" t="str">
        <f ca="1">'Procesy - AS IS'!B18</f>
        <v>Meranie č. 5</v>
      </c>
      <c r="B26" s="1035">
        <f>'Procesy - AS IS'!AD20</f>
        <v>87.491525423728817</v>
      </c>
      <c r="C26" s="926">
        <f>'Procesy - AS IS'!AG20</f>
        <v>59</v>
      </c>
      <c r="D26" s="926">
        <f t="shared" ca="1" si="3"/>
        <v>1949.5</v>
      </c>
      <c r="E26" s="926">
        <f t="shared" ca="1" si="0"/>
        <v>529.5</v>
      </c>
      <c r="F26" s="1035">
        <f t="shared" si="1"/>
        <v>5162</v>
      </c>
      <c r="G26" s="81">
        <f t="shared" si="2"/>
        <v>28181.283354879943</v>
      </c>
    </row>
    <row r="27" spans="1:7" x14ac:dyDescent="0.25">
      <c r="A27" s="81" t="str">
        <f ca="1">'Procesy - AS IS'!B86</f>
        <v>Meranie č. 25</v>
      </c>
      <c r="B27" s="1035">
        <f>'Procesy - AS IS'!AD88</f>
        <v>92</v>
      </c>
      <c r="C27" s="926">
        <f>'Procesy - AS IS'!AG88</f>
        <v>11</v>
      </c>
      <c r="D27" s="926">
        <f t="shared" ca="1" si="3"/>
        <v>1960.5</v>
      </c>
      <c r="E27" s="926">
        <f t="shared" ca="1" si="0"/>
        <v>470.5</v>
      </c>
      <c r="F27" s="1035">
        <f t="shared" si="1"/>
        <v>1012</v>
      </c>
      <c r="G27" s="81">
        <f t="shared" si="2"/>
        <v>7645.4648114148167</v>
      </c>
    </row>
    <row r="28" spans="1:7" x14ac:dyDescent="0.25">
      <c r="A28" s="81" t="str">
        <f ca="1">'Procesy - AS IS'!B15</f>
        <v>Meranie č. 4</v>
      </c>
      <c r="B28" s="1035">
        <f>'Procesy - AS IS'!AD17</f>
        <v>97.434554973821989</v>
      </c>
      <c r="C28" s="926">
        <f>'Procesy - AS IS'!AG14/2</f>
        <v>95.5</v>
      </c>
      <c r="D28" s="926">
        <f t="shared" ca="1" si="3"/>
        <v>2056</v>
      </c>
      <c r="E28" s="926">
        <f t="shared" ca="1" si="0"/>
        <v>459.5</v>
      </c>
      <c r="F28" s="1035">
        <f t="shared" si="1"/>
        <v>9305</v>
      </c>
      <c r="G28" s="81">
        <f t="shared" si="2"/>
        <v>96562.542357583152</v>
      </c>
    </row>
    <row r="29" spans="1:7" x14ac:dyDescent="0.25">
      <c r="A29" s="81" t="str">
        <f ca="1">'Procesy - AS IS'!B103</f>
        <v>Meranie č. 30</v>
      </c>
      <c r="B29" s="1035">
        <f>'Procesy - AS IS'!AD105</f>
        <v>100.84712230215827</v>
      </c>
      <c r="C29" s="926">
        <f>'Procesy - AS IS'!AG105</f>
        <v>278</v>
      </c>
      <c r="D29" s="926">
        <f t="shared" ca="1" si="3"/>
        <v>2334</v>
      </c>
      <c r="E29" s="926">
        <f t="shared" ca="1" si="0"/>
        <v>364</v>
      </c>
      <c r="F29" s="1035">
        <f t="shared" si="1"/>
        <v>28035.5</v>
      </c>
      <c r="G29" s="81">
        <f t="shared" si="2"/>
        <v>344664.05869293923</v>
      </c>
    </row>
    <row r="30" spans="1:7" x14ac:dyDescent="0.25">
      <c r="A30" s="81" t="str">
        <f ca="1">'Procesy - AS IS'!B61</f>
        <v>Meranie č. 18</v>
      </c>
      <c r="B30" s="1035">
        <f>'Procesy - AS IS'!AD63</f>
        <v>155.36227987632748</v>
      </c>
      <c r="C30" s="926">
        <f>'Procesy - AS IS'!AG63/2</f>
        <v>43</v>
      </c>
      <c r="D30" s="926">
        <f t="shared" ca="1" si="3"/>
        <v>2377</v>
      </c>
      <c r="E30" s="926">
        <f ca="1">C30+OFFSET(E30,1,0)</f>
        <v>86</v>
      </c>
      <c r="F30" s="1035">
        <f t="shared" si="1"/>
        <v>6680.5780346820811</v>
      </c>
      <c r="G30" s="81">
        <f t="shared" si="2"/>
        <v>346181.9585195721</v>
      </c>
    </row>
    <row r="31" spans="1:7" x14ac:dyDescent="0.25">
      <c r="A31" s="81" t="str">
        <f ca="1">'Procesy - AS IS'!B64</f>
        <v>Meranie č. 19</v>
      </c>
      <c r="B31" s="1035">
        <f>'Procesy - AS IS'!AD66</f>
        <v>237.5</v>
      </c>
      <c r="C31" s="926">
        <f>'Procesy - AS IS'!AG63/2</f>
        <v>43</v>
      </c>
      <c r="D31" s="926">
        <f t="shared" ca="1" si="3"/>
        <v>2420</v>
      </c>
      <c r="E31" s="926">
        <f>C31</f>
        <v>43</v>
      </c>
      <c r="F31" s="1035">
        <f t="shared" si="1"/>
        <v>10212.5</v>
      </c>
      <c r="G31" s="81">
        <f t="shared" si="2"/>
        <v>1270095.9702874261</v>
      </c>
    </row>
    <row r="32" spans="1:7" ht="14.4" x14ac:dyDescent="0.3">
      <c r="C32" s="1037">
        <f>SUM(C2:C31)</f>
        <v>2420</v>
      </c>
      <c r="D32" s="1036"/>
      <c r="E32" s="1036"/>
      <c r="F32" s="1038">
        <f>SUM(F2:F31)</f>
        <v>158839.95716618013</v>
      </c>
      <c r="G32" s="163">
        <f>SUM(G2:G31)</f>
        <v>3113070.2476893733</v>
      </c>
    </row>
    <row r="34" spans="1:5" x14ac:dyDescent="0.25">
      <c r="A34" s="163" t="s">
        <v>778</v>
      </c>
      <c r="B34" s="1038">
        <f>MIN(B2:B31)</f>
        <v>26.120447976878612</v>
      </c>
    </row>
    <row r="35" spans="1:5" x14ac:dyDescent="0.25">
      <c r="A35" s="163" t="s">
        <v>779</v>
      </c>
      <c r="B35" s="1038">
        <f>MAX(B2:B31)</f>
        <v>237.5</v>
      </c>
    </row>
    <row r="36" spans="1:5" x14ac:dyDescent="0.25">
      <c r="A36" s="163" t="s">
        <v>628</v>
      </c>
      <c r="B36" s="1038">
        <f>F32/C32</f>
        <v>65.636345936438076</v>
      </c>
    </row>
    <row r="37" spans="1:5" s="1039" customFormat="1" hidden="1" x14ac:dyDescent="0.25">
      <c r="A37" s="1039" t="s">
        <v>775</v>
      </c>
      <c r="B37" s="1040">
        <f ca="1">INDEX(B2:B31,MATCH(C32/2,D2:D31,1))</f>
        <v>51.120192307692307</v>
      </c>
      <c r="C37" s="1041"/>
      <c r="D37" s="1041"/>
      <c r="E37" s="1041"/>
    </row>
    <row r="38" spans="1:5" s="1039" customFormat="1" hidden="1" x14ac:dyDescent="0.25">
      <c r="A38" s="1039" t="s">
        <v>776</v>
      </c>
      <c r="B38" s="1040">
        <f ca="1">INDEX(B2:B31,MATCH(C32/2,E2:E31,-1))</f>
        <v>53.85503669546015</v>
      </c>
      <c r="C38" s="1041"/>
      <c r="D38" s="1041"/>
      <c r="E38" s="1041"/>
    </row>
    <row r="39" spans="1:5" x14ac:dyDescent="0.25">
      <c r="A39" s="163" t="s">
        <v>629</v>
      </c>
      <c r="B39" s="1038">
        <f ca="1">AVERAGE(B37:B38)</f>
        <v>52.487614501576232</v>
      </c>
    </row>
    <row r="40" spans="1:5" x14ac:dyDescent="0.25">
      <c r="A40" s="163" t="s">
        <v>630</v>
      </c>
      <c r="B40" s="1038">
        <f>G32/C32</f>
        <v>1286.3926643344519</v>
      </c>
    </row>
    <row r="41" spans="1:5" x14ac:dyDescent="0.25">
      <c r="A41" s="163" t="s">
        <v>631</v>
      </c>
      <c r="B41" s="1038">
        <f>SQRT(B40)</f>
        <v>35.866316570487861</v>
      </c>
    </row>
  </sheetData>
  <sortState ref="A2:C31">
    <sortCondition ref="B2:B31"/>
  </sortState>
  <pageMargins left="0.7" right="0.7" top="0.75" bottom="0.75" header="0.3" footer="0.3"/>
  <pageSetup paperSize="9" orientation="portrait" horizontalDpi="150" verticalDpi="15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C13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30" sqref="C30"/>
    </sheetView>
  </sheetViews>
  <sheetFormatPr defaultRowHeight="14.4" x14ac:dyDescent="0.3"/>
  <cols>
    <col min="1" max="1" width="3.33203125" bestFit="1" customWidth="1"/>
    <col min="2" max="2" width="13.33203125" bestFit="1" customWidth="1"/>
    <col min="3" max="3" width="162.33203125" bestFit="1" customWidth="1"/>
  </cols>
  <sheetData>
    <row r="1" spans="1:3" s="101" customFormat="1" x14ac:dyDescent="0.3">
      <c r="A1" s="712" t="s">
        <v>497</v>
      </c>
      <c r="B1" s="499" t="s">
        <v>498</v>
      </c>
      <c r="C1" s="499" t="s">
        <v>499</v>
      </c>
    </row>
    <row r="2" spans="1:3" x14ac:dyDescent="0.3">
      <c r="A2" s="498">
        <v>1</v>
      </c>
      <c r="B2" s="498" t="s">
        <v>500</v>
      </c>
      <c r="C2" s="498" t="s">
        <v>501</v>
      </c>
    </row>
    <row r="3" spans="1:3" x14ac:dyDescent="0.3">
      <c r="A3" s="498">
        <v>2</v>
      </c>
      <c r="B3" s="498" t="s">
        <v>502</v>
      </c>
      <c r="C3" s="498" t="s">
        <v>503</v>
      </c>
    </row>
    <row r="4" spans="1:3" x14ac:dyDescent="0.3">
      <c r="A4" s="498">
        <v>3</v>
      </c>
      <c r="B4" s="498" t="s">
        <v>504</v>
      </c>
      <c r="C4" s="498" t="s">
        <v>505</v>
      </c>
    </row>
    <row r="5" spans="1:3" x14ac:dyDescent="0.3">
      <c r="A5" s="498">
        <v>4</v>
      </c>
      <c r="B5" s="498" t="s">
        <v>506</v>
      </c>
      <c r="C5" s="498" t="s">
        <v>507</v>
      </c>
    </row>
    <row r="6" spans="1:3" x14ac:dyDescent="0.3">
      <c r="A6" s="498">
        <v>5</v>
      </c>
      <c r="B6" s="498" t="s">
        <v>508</v>
      </c>
      <c r="C6" s="498" t="s">
        <v>509</v>
      </c>
    </row>
    <row r="7" spans="1:3" x14ac:dyDescent="0.3">
      <c r="A7" s="498">
        <v>6</v>
      </c>
      <c r="B7" s="498" t="s">
        <v>510</v>
      </c>
      <c r="C7" s="498" t="s">
        <v>511</v>
      </c>
    </row>
    <row r="8" spans="1:3" x14ac:dyDescent="0.3">
      <c r="A8" s="498">
        <v>7</v>
      </c>
      <c r="B8" s="498" t="s">
        <v>512</v>
      </c>
      <c r="C8" s="498" t="s">
        <v>513</v>
      </c>
    </row>
    <row r="9" spans="1:3" x14ac:dyDescent="0.3">
      <c r="A9" s="498">
        <v>8</v>
      </c>
      <c r="B9" s="498" t="s">
        <v>514</v>
      </c>
      <c r="C9" s="498" t="s">
        <v>515</v>
      </c>
    </row>
    <row r="10" spans="1:3" x14ac:dyDescent="0.3">
      <c r="A10" s="498">
        <v>9</v>
      </c>
      <c r="B10" s="498" t="s">
        <v>516</v>
      </c>
      <c r="C10" s="498" t="s">
        <v>517</v>
      </c>
    </row>
    <row r="11" spans="1:3" x14ac:dyDescent="0.3">
      <c r="A11" s="498">
        <v>10</v>
      </c>
      <c r="B11" s="498" t="s">
        <v>518</v>
      </c>
      <c r="C11" s="498" t="s">
        <v>519</v>
      </c>
    </row>
    <row r="12" spans="1:3" x14ac:dyDescent="0.3">
      <c r="A12" s="498">
        <v>11</v>
      </c>
      <c r="B12" s="498" t="s">
        <v>520</v>
      </c>
      <c r="C12" s="498" t="s">
        <v>521</v>
      </c>
    </row>
    <row r="13" spans="1:3" x14ac:dyDescent="0.3">
      <c r="A13" s="498">
        <v>12</v>
      </c>
      <c r="B13" s="498" t="s">
        <v>522</v>
      </c>
      <c r="C13" s="498" t="s">
        <v>523</v>
      </c>
    </row>
  </sheetData>
  <pageMargins left="0.7" right="0.7" top="0.75" bottom="0.75" header="0.3" footer="0.3"/>
  <pageSetup paperSize="9" orientation="portrait" horizontalDpi="150" verticalDpi="15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138"/>
  <sheetViews>
    <sheetView view="pageBreakPreview" topLeftCell="A66" zoomScale="80" zoomScaleNormal="80" zoomScaleSheetLayoutView="80" workbookViewId="0">
      <selection activeCell="G103" sqref="G103"/>
    </sheetView>
  </sheetViews>
  <sheetFormatPr defaultColWidth="8.88671875" defaultRowHeight="14.4" x14ac:dyDescent="0.3"/>
  <cols>
    <col min="1" max="1" width="26" customWidth="1"/>
    <col min="2" max="2" width="11.44140625" customWidth="1"/>
    <col min="4" max="4" width="20.88671875" customWidth="1"/>
    <col min="6" max="8" width="12.44140625" bestFit="1" customWidth="1"/>
    <col min="9" max="9" width="13.109375" bestFit="1" customWidth="1"/>
  </cols>
  <sheetData>
    <row r="1" spans="1:9" ht="15" thickBot="1" x14ac:dyDescent="0.35"/>
    <row r="2" spans="1:9" x14ac:dyDescent="0.3">
      <c r="A2" s="1198" t="str">
        <f>'Parametre - Agendové IS'!G1</f>
        <v>Interný agendový informačný systém KSED</v>
      </c>
      <c r="B2" s="1199"/>
      <c r="C2" s="1200"/>
      <c r="D2" s="1204" t="s">
        <v>103</v>
      </c>
      <c r="E2" s="1205"/>
      <c r="F2" s="262" t="s">
        <v>339</v>
      </c>
      <c r="G2" s="262" t="s">
        <v>154</v>
      </c>
      <c r="H2" s="262" t="s">
        <v>155</v>
      </c>
      <c r="I2" s="262" t="s">
        <v>157</v>
      </c>
    </row>
    <row r="3" spans="1:9" ht="15" thickBot="1" x14ac:dyDescent="0.35">
      <c r="A3" s="1201"/>
      <c r="B3" s="1202"/>
      <c r="C3" s="1203"/>
      <c r="D3" s="446" t="s">
        <v>302</v>
      </c>
      <c r="E3" s="447" t="s">
        <v>156</v>
      </c>
      <c r="F3" s="143" t="s">
        <v>156</v>
      </c>
      <c r="G3" s="143" t="s">
        <v>156</v>
      </c>
      <c r="H3" s="143" t="s">
        <v>156</v>
      </c>
      <c r="I3" s="143" t="s">
        <v>156</v>
      </c>
    </row>
    <row r="4" spans="1:9" ht="15" customHeight="1" x14ac:dyDescent="0.3">
      <c r="A4" s="1192" t="s">
        <v>43</v>
      </c>
      <c r="B4" s="1195" t="s">
        <v>174</v>
      </c>
      <c r="C4" s="144" t="s">
        <v>25</v>
      </c>
      <c r="D4" s="448" t="str">
        <f>IF(E4='Parametre - Agendové IS'!H107,"OK","Chyba počtu FTE")</f>
        <v>OK</v>
      </c>
      <c r="E4" s="449">
        <f t="shared" ref="E4:E33" si="0">F4+G4+H4+I4</f>
        <v>106.33257530161414</v>
      </c>
      <c r="F4" s="983">
        <f>'Parametre - Agendové IS'!H6*'Parametre - Agendové IS'!H46/12/21/7.5</f>
        <v>106.33257530161414</v>
      </c>
      <c r="G4" s="983">
        <v>0</v>
      </c>
      <c r="H4" s="983">
        <v>0</v>
      </c>
      <c r="I4" s="983">
        <v>0</v>
      </c>
    </row>
    <row r="5" spans="1:9" x14ac:dyDescent="0.3">
      <c r="A5" s="1193"/>
      <c r="B5" s="1196"/>
      <c r="C5" s="141" t="s">
        <v>26</v>
      </c>
      <c r="D5" s="450" t="str">
        <f>IF(E5='Parametre - Agendové IS'!H108,"OK","Chyba počtu FTE")</f>
        <v>OK</v>
      </c>
      <c r="E5" s="451">
        <f t="shared" si="0"/>
        <v>106.33257530161414</v>
      </c>
      <c r="F5" s="984">
        <f>'Parametre - Agendové IS'!H7*'Parametre - Agendové IS'!H47/12/21/7.5</f>
        <v>106.33257530161414</v>
      </c>
      <c r="G5" s="984">
        <v>0</v>
      </c>
      <c r="H5" s="984">
        <v>0</v>
      </c>
      <c r="I5" s="984">
        <v>0</v>
      </c>
    </row>
    <row r="6" spans="1:9" x14ac:dyDescent="0.3">
      <c r="A6" s="1193"/>
      <c r="B6" s="1196"/>
      <c r="C6" s="141" t="s">
        <v>27</v>
      </c>
      <c r="D6" s="450" t="str">
        <f>IF(E6='Parametre - Agendové IS'!H109,"OK","Chyba počtu FTE")</f>
        <v>OK</v>
      </c>
      <c r="E6" s="451">
        <f t="shared" si="0"/>
        <v>106.33257530161411</v>
      </c>
      <c r="F6" s="984">
        <f>'Parametre - Agendové IS'!H8*'Parametre - Agendové IS'!H48/12/21/7.5</f>
        <v>106.33257530161411</v>
      </c>
      <c r="G6" s="984">
        <v>0</v>
      </c>
      <c r="H6" s="984">
        <v>0</v>
      </c>
      <c r="I6" s="984">
        <v>0</v>
      </c>
    </row>
    <row r="7" spans="1:9" x14ac:dyDescent="0.3">
      <c r="A7" s="1193"/>
      <c r="B7" s="1196"/>
      <c r="C7" s="141" t="s">
        <v>28</v>
      </c>
      <c r="D7" s="450" t="str">
        <f>IF(E7='Parametre - Agendové IS'!H110,"OK","Chyba počtu FTE")</f>
        <v>OK</v>
      </c>
      <c r="E7" s="451">
        <f t="shared" si="0"/>
        <v>106.33257530161411</v>
      </c>
      <c r="F7" s="984">
        <f>'Parametre - Agendové IS'!H9*'Parametre - Agendové IS'!H49/12/21/7.5</f>
        <v>106.33257530161411</v>
      </c>
      <c r="G7" s="984">
        <v>0</v>
      </c>
      <c r="H7" s="984">
        <v>0</v>
      </c>
      <c r="I7" s="984">
        <v>0</v>
      </c>
    </row>
    <row r="8" spans="1:9" x14ac:dyDescent="0.3">
      <c r="A8" s="1193"/>
      <c r="B8" s="1196"/>
      <c r="C8" s="141" t="s">
        <v>29</v>
      </c>
      <c r="D8" s="450" t="str">
        <f>IF(E8='Parametre - Agendové IS'!H111,"OK","Chyba počtu FTE")</f>
        <v>OK</v>
      </c>
      <c r="E8" s="451">
        <f t="shared" si="0"/>
        <v>106.33257530161411</v>
      </c>
      <c r="F8" s="984">
        <f>'Parametre - Agendové IS'!H10*'Parametre - Agendové IS'!H50/12/21/7.5</f>
        <v>106.33257530161411</v>
      </c>
      <c r="G8" s="984">
        <v>0</v>
      </c>
      <c r="H8" s="984">
        <v>0</v>
      </c>
      <c r="I8" s="984">
        <v>0</v>
      </c>
    </row>
    <row r="9" spans="1:9" x14ac:dyDescent="0.3">
      <c r="A9" s="1193"/>
      <c r="B9" s="1196"/>
      <c r="C9" s="141" t="s">
        <v>30</v>
      </c>
      <c r="D9" s="450" t="str">
        <f>IF(E9='Parametre - Agendové IS'!H112,"OK","Chyba počtu FTE")</f>
        <v>OK</v>
      </c>
      <c r="E9" s="451">
        <f t="shared" si="0"/>
        <v>106.33257530161411</v>
      </c>
      <c r="F9" s="984">
        <f>'Parametre - Agendové IS'!H11*'Parametre - Agendové IS'!H51/12/21/7.5</f>
        <v>106.33257530161411</v>
      </c>
      <c r="G9" s="984">
        <v>0</v>
      </c>
      <c r="H9" s="984">
        <v>0</v>
      </c>
      <c r="I9" s="984">
        <v>0</v>
      </c>
    </row>
    <row r="10" spans="1:9" x14ac:dyDescent="0.3">
      <c r="A10" s="1193"/>
      <c r="B10" s="1196"/>
      <c r="C10" s="141" t="s">
        <v>31</v>
      </c>
      <c r="D10" s="450" t="str">
        <f>IF(E10='Parametre - Agendové IS'!H113,"OK","Chyba počtu FTE")</f>
        <v>OK</v>
      </c>
      <c r="E10" s="451">
        <f t="shared" si="0"/>
        <v>106.33257530161411</v>
      </c>
      <c r="F10" s="984">
        <f>'Parametre - Agendové IS'!H12*'Parametre - Agendové IS'!H52/12/21/7.5</f>
        <v>106.33257530161411</v>
      </c>
      <c r="G10" s="984">
        <v>0</v>
      </c>
      <c r="H10" s="984">
        <v>0</v>
      </c>
      <c r="I10" s="984">
        <v>0</v>
      </c>
    </row>
    <row r="11" spans="1:9" x14ac:dyDescent="0.3">
      <c r="A11" s="1193"/>
      <c r="B11" s="1196"/>
      <c r="C11" s="141" t="s">
        <v>32</v>
      </c>
      <c r="D11" s="450" t="str">
        <f>IF(E11='Parametre - Agendové IS'!H114,"OK","Chyba počtu FTE")</f>
        <v>OK</v>
      </c>
      <c r="E11" s="451">
        <f t="shared" si="0"/>
        <v>106.33257530161411</v>
      </c>
      <c r="F11" s="984">
        <f>'Parametre - Agendové IS'!H13*'Parametre - Agendové IS'!H53/12/21/7.5</f>
        <v>106.33257530161411</v>
      </c>
      <c r="G11" s="984">
        <v>0</v>
      </c>
      <c r="H11" s="984">
        <v>0</v>
      </c>
      <c r="I11" s="984">
        <v>0</v>
      </c>
    </row>
    <row r="12" spans="1:9" x14ac:dyDescent="0.3">
      <c r="A12" s="1193"/>
      <c r="B12" s="1196"/>
      <c r="C12" s="141" t="s">
        <v>33</v>
      </c>
      <c r="D12" s="450" t="str">
        <f>IF(E12='Parametre - Agendové IS'!H115,"OK","Chyba počtu FTE")</f>
        <v>OK</v>
      </c>
      <c r="E12" s="451">
        <f t="shared" si="0"/>
        <v>106.33257530161411</v>
      </c>
      <c r="F12" s="984">
        <f>'Parametre - Agendové IS'!H14*'Parametre - Agendové IS'!H54/12/21/7.5</f>
        <v>106.33257530161411</v>
      </c>
      <c r="G12" s="984">
        <v>0</v>
      </c>
      <c r="H12" s="984">
        <v>0</v>
      </c>
      <c r="I12" s="984">
        <v>0</v>
      </c>
    </row>
    <row r="13" spans="1:9" ht="15" thickBot="1" x14ac:dyDescent="0.35">
      <c r="A13" s="1193"/>
      <c r="B13" s="1196"/>
      <c r="C13" s="141" t="s">
        <v>34</v>
      </c>
      <c r="D13" s="452" t="str">
        <f>IF(E13='Parametre - Agendové IS'!H116,"OK","Chyba počtu FTE")</f>
        <v>OK</v>
      </c>
      <c r="E13" s="453">
        <f t="shared" si="0"/>
        <v>106.33257530161411</v>
      </c>
      <c r="F13" s="985">
        <f>'Parametre - Agendové IS'!H15*'Parametre - Agendové IS'!H55/12/21/7.5</f>
        <v>106.33257530161411</v>
      </c>
      <c r="G13" s="985">
        <v>0</v>
      </c>
      <c r="H13" s="985">
        <v>0</v>
      </c>
      <c r="I13" s="985">
        <v>0</v>
      </c>
    </row>
    <row r="14" spans="1:9" ht="15" customHeight="1" x14ac:dyDescent="0.3">
      <c r="A14" s="1192" t="s">
        <v>41</v>
      </c>
      <c r="B14" s="1195" t="s">
        <v>37</v>
      </c>
      <c r="C14" s="144" t="s">
        <v>25</v>
      </c>
      <c r="D14" s="449" t="str">
        <f>IF(E14='Parametre - Agendové IS'!H6,"OK","Chyba počtu podaní")</f>
        <v>OK</v>
      </c>
      <c r="E14" s="454">
        <f t="shared" si="0"/>
        <v>2659</v>
      </c>
      <c r="F14" s="986">
        <f>'Procesy - AS IS'!$AG$4</f>
        <v>2659</v>
      </c>
      <c r="G14" s="986">
        <v>0</v>
      </c>
      <c r="H14" s="986">
        <v>0</v>
      </c>
      <c r="I14" s="986">
        <v>0</v>
      </c>
    </row>
    <row r="15" spans="1:9" x14ac:dyDescent="0.3">
      <c r="A15" s="1193"/>
      <c r="B15" s="1196"/>
      <c r="C15" s="141" t="s">
        <v>26</v>
      </c>
      <c r="D15" s="450" t="str">
        <f>IF(E15='Parametre - Agendové IS'!H7,"OK","Chyba počtu podaní")</f>
        <v>OK</v>
      </c>
      <c r="E15" s="451">
        <f t="shared" si="0"/>
        <v>2659</v>
      </c>
      <c r="F15" s="987">
        <f>F14</f>
        <v>2659</v>
      </c>
      <c r="G15" s="987">
        <v>0</v>
      </c>
      <c r="H15" s="987">
        <v>0</v>
      </c>
      <c r="I15" s="987">
        <v>0</v>
      </c>
    </row>
    <row r="16" spans="1:9" x14ac:dyDescent="0.3">
      <c r="A16" s="1193"/>
      <c r="B16" s="1196"/>
      <c r="C16" s="141" t="s">
        <v>27</v>
      </c>
      <c r="D16" s="450" t="str">
        <f>IF(E16='Parametre - Agendové IS'!H8,"OK","Chyba počtu podaní")</f>
        <v>OK</v>
      </c>
      <c r="E16" s="451">
        <f t="shared" si="0"/>
        <v>4170.40711195328</v>
      </c>
      <c r="F16" s="987">
        <f>'Procesy - TO BE'!$AE$52</f>
        <v>4170.40711195328</v>
      </c>
      <c r="G16" s="987">
        <v>0</v>
      </c>
      <c r="H16" s="987">
        <v>0</v>
      </c>
      <c r="I16" s="987">
        <v>0</v>
      </c>
    </row>
    <row r="17" spans="1:9" x14ac:dyDescent="0.3">
      <c r="A17" s="1193"/>
      <c r="B17" s="1196"/>
      <c r="C17" s="141" t="s">
        <v>28</v>
      </c>
      <c r="D17" s="450" t="str">
        <f>IF(E17='Parametre - Agendové IS'!H9,"OK","Chyba počtu podaní")</f>
        <v>OK</v>
      </c>
      <c r="E17" s="451">
        <f t="shared" si="0"/>
        <v>4170.40711195328</v>
      </c>
      <c r="F17" s="987">
        <f t="shared" ref="F17:F23" si="1">F16</f>
        <v>4170.40711195328</v>
      </c>
      <c r="G17" s="987">
        <v>0</v>
      </c>
      <c r="H17" s="987">
        <v>0</v>
      </c>
      <c r="I17" s="987">
        <v>0</v>
      </c>
    </row>
    <row r="18" spans="1:9" x14ac:dyDescent="0.3">
      <c r="A18" s="1193"/>
      <c r="B18" s="1196"/>
      <c r="C18" s="141" t="s">
        <v>29</v>
      </c>
      <c r="D18" s="450" t="str">
        <f>IF(E18='Parametre - Agendové IS'!H10,"OK","Chyba počtu podaní")</f>
        <v>OK</v>
      </c>
      <c r="E18" s="451">
        <f t="shared" si="0"/>
        <v>4170.40711195328</v>
      </c>
      <c r="F18" s="987">
        <f t="shared" si="1"/>
        <v>4170.40711195328</v>
      </c>
      <c r="G18" s="987">
        <v>0</v>
      </c>
      <c r="H18" s="987">
        <v>0</v>
      </c>
      <c r="I18" s="987">
        <v>0</v>
      </c>
    </row>
    <row r="19" spans="1:9" x14ac:dyDescent="0.3">
      <c r="A19" s="1193"/>
      <c r="B19" s="1196"/>
      <c r="C19" s="141" t="s">
        <v>30</v>
      </c>
      <c r="D19" s="450" t="str">
        <f>IF(E19='Parametre - Agendové IS'!H11,"OK","Chyba počtu podaní")</f>
        <v>OK</v>
      </c>
      <c r="E19" s="451">
        <f t="shared" si="0"/>
        <v>4170.40711195328</v>
      </c>
      <c r="F19" s="987">
        <f t="shared" si="1"/>
        <v>4170.40711195328</v>
      </c>
      <c r="G19" s="987">
        <v>0</v>
      </c>
      <c r="H19" s="987">
        <v>0</v>
      </c>
      <c r="I19" s="987">
        <v>0</v>
      </c>
    </row>
    <row r="20" spans="1:9" x14ac:dyDescent="0.3">
      <c r="A20" s="1193"/>
      <c r="B20" s="1196"/>
      <c r="C20" s="141" t="s">
        <v>31</v>
      </c>
      <c r="D20" s="450" t="str">
        <f>IF(E20='Parametre - Agendové IS'!H12,"OK","Chyba počtu podaní")</f>
        <v>OK</v>
      </c>
      <c r="E20" s="451">
        <f t="shared" si="0"/>
        <v>4170.40711195328</v>
      </c>
      <c r="F20" s="987">
        <f t="shared" si="1"/>
        <v>4170.40711195328</v>
      </c>
      <c r="G20" s="987">
        <v>0</v>
      </c>
      <c r="H20" s="987">
        <v>0</v>
      </c>
      <c r="I20" s="987">
        <v>0</v>
      </c>
    </row>
    <row r="21" spans="1:9" x14ac:dyDescent="0.3">
      <c r="A21" s="1193"/>
      <c r="B21" s="1196"/>
      <c r="C21" s="141" t="s">
        <v>32</v>
      </c>
      <c r="D21" s="450" t="str">
        <f>IF(E21='Parametre - Agendové IS'!H13,"OK","Chyba počtu podaní")</f>
        <v>OK</v>
      </c>
      <c r="E21" s="451">
        <f t="shared" si="0"/>
        <v>4170.40711195328</v>
      </c>
      <c r="F21" s="987">
        <f t="shared" si="1"/>
        <v>4170.40711195328</v>
      </c>
      <c r="G21" s="987">
        <v>0</v>
      </c>
      <c r="H21" s="987">
        <v>0</v>
      </c>
      <c r="I21" s="987">
        <v>0</v>
      </c>
    </row>
    <row r="22" spans="1:9" x14ac:dyDescent="0.3">
      <c r="A22" s="1193"/>
      <c r="B22" s="1196"/>
      <c r="C22" s="141" t="s">
        <v>33</v>
      </c>
      <c r="D22" s="450" t="str">
        <f>IF(E22='Parametre - Agendové IS'!H14,"OK","Chyba počtu podaní")</f>
        <v>OK</v>
      </c>
      <c r="E22" s="451">
        <f t="shared" si="0"/>
        <v>4170.40711195328</v>
      </c>
      <c r="F22" s="987">
        <f t="shared" si="1"/>
        <v>4170.40711195328</v>
      </c>
      <c r="G22" s="987">
        <v>0</v>
      </c>
      <c r="H22" s="987">
        <v>0</v>
      </c>
      <c r="I22" s="987">
        <v>0</v>
      </c>
    </row>
    <row r="23" spans="1:9" ht="15" thickBot="1" x14ac:dyDescent="0.35">
      <c r="A23" s="1194"/>
      <c r="B23" s="1197"/>
      <c r="C23" s="142" t="s">
        <v>34</v>
      </c>
      <c r="D23" s="450" t="str">
        <f>IF(E23='Parametre - Agendové IS'!H15,"OK","Chyba počtu podaní")</f>
        <v>OK</v>
      </c>
      <c r="E23" s="451">
        <f t="shared" si="0"/>
        <v>4170.40711195328</v>
      </c>
      <c r="F23" s="987">
        <f t="shared" si="1"/>
        <v>4170.40711195328</v>
      </c>
      <c r="G23" s="987">
        <v>0</v>
      </c>
      <c r="H23" s="987">
        <v>0</v>
      </c>
      <c r="I23" s="987">
        <v>0</v>
      </c>
    </row>
    <row r="24" spans="1:9" x14ac:dyDescent="0.3">
      <c r="A24" s="1192" t="s">
        <v>39</v>
      </c>
      <c r="B24" s="1195" t="s">
        <v>13</v>
      </c>
      <c r="C24" s="144" t="s">
        <v>25</v>
      </c>
      <c r="D24" s="449" t="str">
        <f>IF(E24='Parametre - Agendové IS'!H157,"OK","Chyba")</f>
        <v>OK</v>
      </c>
      <c r="E24" s="454">
        <f t="shared" si="0"/>
        <v>1256398.3426328432</v>
      </c>
      <c r="F24" s="545">
        <f>'Parametre - Agendové IS'!$H76</f>
        <v>1256398.3426328432</v>
      </c>
      <c r="G24" s="545">
        <v>0</v>
      </c>
      <c r="H24" s="545">
        <v>0</v>
      </c>
      <c r="I24" s="545">
        <v>0</v>
      </c>
    </row>
    <row r="25" spans="1:9" x14ac:dyDescent="0.3">
      <c r="A25" s="1193"/>
      <c r="B25" s="1196"/>
      <c r="C25" s="141" t="s">
        <v>26</v>
      </c>
      <c r="D25" s="450" t="str">
        <f>IF(E25='Parametre - Agendové IS'!H158,"OK","Chyba")</f>
        <v>OK</v>
      </c>
      <c r="E25" s="451">
        <f t="shared" si="0"/>
        <v>1256398.3426328432</v>
      </c>
      <c r="F25" s="546">
        <f>'Parametre - Agendové IS'!$H77</f>
        <v>1256398.3426328432</v>
      </c>
      <c r="G25" s="546">
        <v>0</v>
      </c>
      <c r="H25" s="546">
        <v>0</v>
      </c>
      <c r="I25" s="546">
        <v>0</v>
      </c>
    </row>
    <row r="26" spans="1:9" x14ac:dyDescent="0.3">
      <c r="A26" s="1193"/>
      <c r="B26" s="1196"/>
      <c r="C26" s="141" t="s">
        <v>27</v>
      </c>
      <c r="D26" s="450" t="str">
        <f>IF(E26='Parametre - Agendové IS'!H159,"OK","Chyba")</f>
        <v>OK</v>
      </c>
      <c r="E26" s="451">
        <f t="shared" si="0"/>
        <v>2328752.2593610324</v>
      </c>
      <c r="F26" s="546">
        <f>'Parametre - Agendové IS'!$H78</f>
        <v>2328752.2593610324</v>
      </c>
      <c r="G26" s="546">
        <v>0</v>
      </c>
      <c r="H26" s="546">
        <v>0</v>
      </c>
      <c r="I26" s="546">
        <v>0</v>
      </c>
    </row>
    <row r="27" spans="1:9" x14ac:dyDescent="0.3">
      <c r="A27" s="1193"/>
      <c r="B27" s="1196"/>
      <c r="C27" s="141" t="s">
        <v>28</v>
      </c>
      <c r="D27" s="450" t="str">
        <f>IF(E27='Parametre - Agendové IS'!H160,"OK","Chyba")</f>
        <v>OK</v>
      </c>
      <c r="E27" s="451">
        <f t="shared" si="0"/>
        <v>2328752.2593610324</v>
      </c>
      <c r="F27" s="546">
        <f>'Parametre - Agendové IS'!$H79</f>
        <v>2328752.2593610324</v>
      </c>
      <c r="G27" s="546">
        <v>0</v>
      </c>
      <c r="H27" s="546">
        <v>0</v>
      </c>
      <c r="I27" s="546">
        <v>0</v>
      </c>
    </row>
    <row r="28" spans="1:9" x14ac:dyDescent="0.3">
      <c r="A28" s="1193"/>
      <c r="B28" s="1196"/>
      <c r="C28" s="141" t="s">
        <v>29</v>
      </c>
      <c r="D28" s="450" t="str">
        <f>IF(E28='Parametre - Agendové IS'!H161,"OK","Chyba")</f>
        <v>OK</v>
      </c>
      <c r="E28" s="451">
        <f t="shared" si="0"/>
        <v>2328752.2593610324</v>
      </c>
      <c r="F28" s="546">
        <f>'Parametre - Agendové IS'!$H80</f>
        <v>2328752.2593610324</v>
      </c>
      <c r="G28" s="546">
        <v>0</v>
      </c>
      <c r="H28" s="546">
        <v>0</v>
      </c>
      <c r="I28" s="546">
        <v>0</v>
      </c>
    </row>
    <row r="29" spans="1:9" x14ac:dyDescent="0.3">
      <c r="A29" s="1193"/>
      <c r="B29" s="1196"/>
      <c r="C29" s="141" t="s">
        <v>30</v>
      </c>
      <c r="D29" s="450" t="str">
        <f>IF(E29='Parametre - Agendové IS'!H162,"OK","Chyba")</f>
        <v>OK</v>
      </c>
      <c r="E29" s="451">
        <f t="shared" si="0"/>
        <v>2328752.2593610324</v>
      </c>
      <c r="F29" s="546">
        <f>'Parametre - Agendové IS'!$H81</f>
        <v>2328752.2593610324</v>
      </c>
      <c r="G29" s="546">
        <v>0</v>
      </c>
      <c r="H29" s="546">
        <v>0</v>
      </c>
      <c r="I29" s="546">
        <v>0</v>
      </c>
    </row>
    <row r="30" spans="1:9" x14ac:dyDescent="0.3">
      <c r="A30" s="1193"/>
      <c r="B30" s="1196"/>
      <c r="C30" s="141" t="s">
        <v>31</v>
      </c>
      <c r="D30" s="450" t="str">
        <f>IF(E30='Parametre - Agendové IS'!H163,"OK","Chyba")</f>
        <v>OK</v>
      </c>
      <c r="E30" s="451">
        <f t="shared" si="0"/>
        <v>2328752.2593610324</v>
      </c>
      <c r="F30" s="546">
        <f>'Parametre - Agendové IS'!$H82</f>
        <v>2328752.2593610324</v>
      </c>
      <c r="G30" s="546">
        <v>0</v>
      </c>
      <c r="H30" s="546">
        <v>0</v>
      </c>
      <c r="I30" s="546">
        <v>0</v>
      </c>
    </row>
    <row r="31" spans="1:9" x14ac:dyDescent="0.3">
      <c r="A31" s="1193"/>
      <c r="B31" s="1196"/>
      <c r="C31" s="141" t="s">
        <v>32</v>
      </c>
      <c r="D31" s="450" t="str">
        <f>IF(E31='Parametre - Agendové IS'!H164,"OK","Chyba")</f>
        <v>OK</v>
      </c>
      <c r="E31" s="451">
        <f t="shared" si="0"/>
        <v>2328752.2593610324</v>
      </c>
      <c r="F31" s="546">
        <f>'Parametre - Agendové IS'!$H83</f>
        <v>2328752.2593610324</v>
      </c>
      <c r="G31" s="546">
        <v>0</v>
      </c>
      <c r="H31" s="546">
        <v>0</v>
      </c>
      <c r="I31" s="546">
        <v>0</v>
      </c>
    </row>
    <row r="32" spans="1:9" x14ac:dyDescent="0.3">
      <c r="A32" s="1193"/>
      <c r="B32" s="1196"/>
      <c r="C32" s="141" t="s">
        <v>33</v>
      </c>
      <c r="D32" s="450" t="str">
        <f>IF(E32='Parametre - Agendové IS'!H165,"OK","Chyba")</f>
        <v>OK</v>
      </c>
      <c r="E32" s="451">
        <f t="shared" si="0"/>
        <v>2328752.2593610324</v>
      </c>
      <c r="F32" s="546">
        <f>'Parametre - Agendové IS'!$H84</f>
        <v>2328752.2593610324</v>
      </c>
      <c r="G32" s="546">
        <v>0</v>
      </c>
      <c r="H32" s="546">
        <v>0</v>
      </c>
      <c r="I32" s="546">
        <v>0</v>
      </c>
    </row>
    <row r="33" spans="1:9" ht="15" thickBot="1" x14ac:dyDescent="0.35">
      <c r="A33" s="1194"/>
      <c r="B33" s="1197"/>
      <c r="C33" s="142" t="s">
        <v>34</v>
      </c>
      <c r="D33" s="450" t="str">
        <f>IF(E33='Parametre - Agendové IS'!H166,"OK","Chyba")</f>
        <v>OK</v>
      </c>
      <c r="E33" s="451">
        <f t="shared" si="0"/>
        <v>2328752.2593610324</v>
      </c>
      <c r="F33" s="546">
        <f>'Parametre - Agendové IS'!$H85</f>
        <v>2328752.2593610324</v>
      </c>
      <c r="G33" s="546">
        <v>0</v>
      </c>
      <c r="H33" s="546">
        <v>0</v>
      </c>
      <c r="I33" s="546">
        <v>0</v>
      </c>
    </row>
    <row r="34" spans="1:9" x14ac:dyDescent="0.3">
      <c r="A34" s="139"/>
      <c r="B34" s="140"/>
      <c r="D34" s="753"/>
    </row>
    <row r="35" spans="1:9" x14ac:dyDescent="0.3">
      <c r="A35" s="139"/>
      <c r="B35" s="140"/>
    </row>
    <row r="36" spans="1:9" ht="15" thickBot="1" x14ac:dyDescent="0.35">
      <c r="A36" s="139"/>
      <c r="B36" s="140"/>
    </row>
    <row r="37" spans="1:9" x14ac:dyDescent="0.3">
      <c r="A37" s="1198" t="str">
        <f>'Parametre - Agendové IS'!J1</f>
        <v>2. Mobilný Agendový informačný systém KSED</v>
      </c>
      <c r="B37" s="1199"/>
      <c r="C37" s="1200"/>
      <c r="D37" s="1204" t="s">
        <v>103</v>
      </c>
      <c r="E37" s="1205"/>
      <c r="F37" s="262" t="str">
        <f>$F$2</f>
        <v>SIŽP</v>
      </c>
      <c r="G37" s="262" t="s">
        <v>154</v>
      </c>
      <c r="H37" s="262" t="s">
        <v>155</v>
      </c>
      <c r="I37" s="262" t="s">
        <v>157</v>
      </c>
    </row>
    <row r="38" spans="1:9" ht="15" thickBot="1" x14ac:dyDescent="0.35">
      <c r="A38" s="1201"/>
      <c r="B38" s="1202"/>
      <c r="C38" s="1203"/>
      <c r="D38" s="446" t="s">
        <v>302</v>
      </c>
      <c r="E38" s="447" t="s">
        <v>156</v>
      </c>
      <c r="F38" s="143" t="s">
        <v>156</v>
      </c>
      <c r="G38" s="143" t="s">
        <v>156</v>
      </c>
      <c r="H38" s="143" t="s">
        <v>156</v>
      </c>
      <c r="I38" s="143" t="s">
        <v>156</v>
      </c>
    </row>
    <row r="39" spans="1:9" x14ac:dyDescent="0.3">
      <c r="A39" s="1192" t="s">
        <v>43</v>
      </c>
      <c r="B39" s="1195" t="s">
        <v>174</v>
      </c>
      <c r="C39" s="144" t="s">
        <v>25</v>
      </c>
      <c r="D39" s="448" t="str">
        <f>IF(E39='Parametre - Agendové IS'!K107,"OK","Chyba počtu FTE")</f>
        <v>OK</v>
      </c>
      <c r="E39" s="449">
        <f t="shared" ref="E39:E68" si="2">F39+G39+H39+I39</f>
        <v>7.2757976113691303</v>
      </c>
      <c r="F39" s="983">
        <f>'Parametre - Agendové IS'!K6*'Parametre - Agendové IS'!K46/12/21/7.5</f>
        <v>7.2757976113691303</v>
      </c>
      <c r="G39" s="983">
        <v>0</v>
      </c>
      <c r="H39" s="983">
        <v>0</v>
      </c>
      <c r="I39" s="983">
        <v>0</v>
      </c>
    </row>
    <row r="40" spans="1:9" x14ac:dyDescent="0.3">
      <c r="A40" s="1193"/>
      <c r="B40" s="1196"/>
      <c r="C40" s="141" t="s">
        <v>26</v>
      </c>
      <c r="D40" s="450" t="str">
        <f>IF(E40='Parametre - Agendové IS'!K108,"OK","Chyba počtu FTE")</f>
        <v>OK</v>
      </c>
      <c r="E40" s="451">
        <f t="shared" si="2"/>
        <v>7.2757976113691303</v>
      </c>
      <c r="F40" s="984">
        <f>'Parametre - Agendové IS'!K7*'Parametre - Agendové IS'!K47/12/21/7.5</f>
        <v>7.2757976113691303</v>
      </c>
      <c r="G40" s="984">
        <v>0</v>
      </c>
      <c r="H40" s="984">
        <v>0</v>
      </c>
      <c r="I40" s="984">
        <v>0</v>
      </c>
    </row>
    <row r="41" spans="1:9" x14ac:dyDescent="0.3">
      <c r="A41" s="1193"/>
      <c r="B41" s="1196"/>
      <c r="C41" s="141" t="s">
        <v>27</v>
      </c>
      <c r="D41" s="450" t="str">
        <f>IF(E41='Parametre - Agendové IS'!K109,"OK","Chyba počtu FTE")</f>
        <v>OK</v>
      </c>
      <c r="E41" s="451">
        <f t="shared" si="2"/>
        <v>7.2757976113691303</v>
      </c>
      <c r="F41" s="984">
        <f>'Parametre - Agendové IS'!K8*'Parametre - Agendové IS'!K48/12/21/7.5</f>
        <v>7.2757976113691303</v>
      </c>
      <c r="G41" s="984">
        <v>0</v>
      </c>
      <c r="H41" s="984">
        <v>0</v>
      </c>
      <c r="I41" s="984">
        <v>0</v>
      </c>
    </row>
    <row r="42" spans="1:9" x14ac:dyDescent="0.3">
      <c r="A42" s="1193"/>
      <c r="B42" s="1196"/>
      <c r="C42" s="141" t="s">
        <v>28</v>
      </c>
      <c r="D42" s="450" t="str">
        <f>IF(E42='Parametre - Agendové IS'!K110,"OK","Chyba počtu FTE")</f>
        <v>OK</v>
      </c>
      <c r="E42" s="451">
        <f t="shared" si="2"/>
        <v>7.2757976113691303</v>
      </c>
      <c r="F42" s="984">
        <f>'Parametre - Agendové IS'!K9*'Parametre - Agendové IS'!K49/12/21/7.5</f>
        <v>7.2757976113691303</v>
      </c>
      <c r="G42" s="984">
        <v>0</v>
      </c>
      <c r="H42" s="984">
        <v>0</v>
      </c>
      <c r="I42" s="984">
        <v>0</v>
      </c>
    </row>
    <row r="43" spans="1:9" x14ac:dyDescent="0.3">
      <c r="A43" s="1193"/>
      <c r="B43" s="1196"/>
      <c r="C43" s="141" t="s">
        <v>29</v>
      </c>
      <c r="D43" s="450" t="str">
        <f>IF(E43='Parametre - Agendové IS'!K111,"OK","Chyba počtu FTE")</f>
        <v>OK</v>
      </c>
      <c r="E43" s="451">
        <f t="shared" si="2"/>
        <v>7.2757976113691303</v>
      </c>
      <c r="F43" s="984">
        <f>'Parametre - Agendové IS'!K10*'Parametre - Agendové IS'!K50/12/21/7.5</f>
        <v>7.2757976113691303</v>
      </c>
      <c r="G43" s="984">
        <v>0</v>
      </c>
      <c r="H43" s="984">
        <v>0</v>
      </c>
      <c r="I43" s="984">
        <v>0</v>
      </c>
    </row>
    <row r="44" spans="1:9" ht="15" customHeight="1" x14ac:dyDescent="0.3">
      <c r="A44" s="1193"/>
      <c r="B44" s="1196"/>
      <c r="C44" s="141" t="s">
        <v>30</v>
      </c>
      <c r="D44" s="450" t="str">
        <f>IF(E44='Parametre - Agendové IS'!K112,"OK","Chyba počtu FTE")</f>
        <v>OK</v>
      </c>
      <c r="E44" s="451">
        <f t="shared" si="2"/>
        <v>7.2757976113691303</v>
      </c>
      <c r="F44" s="984">
        <f>'Parametre - Agendové IS'!K11*'Parametre - Agendové IS'!K51/12/21/7.5</f>
        <v>7.2757976113691303</v>
      </c>
      <c r="G44" s="984">
        <v>0</v>
      </c>
      <c r="H44" s="984">
        <v>0</v>
      </c>
      <c r="I44" s="984">
        <v>0</v>
      </c>
    </row>
    <row r="45" spans="1:9" x14ac:dyDescent="0.3">
      <c r="A45" s="1193"/>
      <c r="B45" s="1196"/>
      <c r="C45" s="141" t="s">
        <v>31</v>
      </c>
      <c r="D45" s="450" t="str">
        <f>IF(E45='Parametre - Agendové IS'!K113,"OK","Chyba počtu FTE")</f>
        <v>OK</v>
      </c>
      <c r="E45" s="451">
        <f t="shared" si="2"/>
        <v>7.2757976113691303</v>
      </c>
      <c r="F45" s="984">
        <f>'Parametre - Agendové IS'!K12*'Parametre - Agendové IS'!K52/12/21/7.5</f>
        <v>7.2757976113691303</v>
      </c>
      <c r="G45" s="984">
        <v>0</v>
      </c>
      <c r="H45" s="984">
        <v>0</v>
      </c>
      <c r="I45" s="984">
        <v>0</v>
      </c>
    </row>
    <row r="46" spans="1:9" x14ac:dyDescent="0.3">
      <c r="A46" s="1193"/>
      <c r="B46" s="1196"/>
      <c r="C46" s="141" t="s">
        <v>32</v>
      </c>
      <c r="D46" s="450" t="str">
        <f>IF(E46='Parametre - Agendové IS'!K114,"OK","Chyba počtu FTE")</f>
        <v>OK</v>
      </c>
      <c r="E46" s="451">
        <f t="shared" si="2"/>
        <v>7.2757976113691303</v>
      </c>
      <c r="F46" s="984">
        <f>'Parametre - Agendové IS'!K13*'Parametre - Agendové IS'!K53/12/21/7.5</f>
        <v>7.2757976113691303</v>
      </c>
      <c r="G46" s="984">
        <v>0</v>
      </c>
      <c r="H46" s="984">
        <v>0</v>
      </c>
      <c r="I46" s="984">
        <v>0</v>
      </c>
    </row>
    <row r="47" spans="1:9" x14ac:dyDescent="0.3">
      <c r="A47" s="1193"/>
      <c r="B47" s="1196"/>
      <c r="C47" s="141" t="s">
        <v>33</v>
      </c>
      <c r="D47" s="450" t="str">
        <f>IF(E47='Parametre - Agendové IS'!K115,"OK","Chyba počtu FTE")</f>
        <v>OK</v>
      </c>
      <c r="E47" s="451">
        <f t="shared" si="2"/>
        <v>7.2757976113691303</v>
      </c>
      <c r="F47" s="984">
        <f>'Parametre - Agendové IS'!K14*'Parametre - Agendové IS'!K54/12/21/7.5</f>
        <v>7.2757976113691303</v>
      </c>
      <c r="G47" s="984">
        <v>0</v>
      </c>
      <c r="H47" s="984">
        <v>0</v>
      </c>
      <c r="I47" s="984">
        <v>0</v>
      </c>
    </row>
    <row r="48" spans="1:9" ht="15" thickBot="1" x14ac:dyDescent="0.35">
      <c r="A48" s="1193"/>
      <c r="B48" s="1196"/>
      <c r="C48" s="141" t="s">
        <v>34</v>
      </c>
      <c r="D48" s="452" t="str">
        <f>IF(E48='Parametre - Agendové IS'!K116,"OK","Chyba počtu FTE")</f>
        <v>OK</v>
      </c>
      <c r="E48" s="453">
        <f t="shared" si="2"/>
        <v>7.2757976113691303</v>
      </c>
      <c r="F48" s="985">
        <f>'Parametre - Agendové IS'!K15*'Parametre - Agendové IS'!K55/12/21/7.5</f>
        <v>7.2757976113691303</v>
      </c>
      <c r="G48" s="985">
        <v>0</v>
      </c>
      <c r="H48" s="985">
        <v>0</v>
      </c>
      <c r="I48" s="985">
        <v>0</v>
      </c>
    </row>
    <row r="49" spans="1:9" x14ac:dyDescent="0.3">
      <c r="A49" s="1192" t="s">
        <v>41</v>
      </c>
      <c r="B49" s="1195" t="s">
        <v>37</v>
      </c>
      <c r="C49" s="144" t="s">
        <v>25</v>
      </c>
      <c r="D49" s="449" t="str">
        <f>IF(E49='Parametre - Agendové IS'!K6,"OK","Chyba počtu podaní")</f>
        <v>OK</v>
      </c>
      <c r="E49" s="454">
        <f t="shared" si="2"/>
        <v>2659</v>
      </c>
      <c r="F49" s="986">
        <f>'Procesy - AS IS'!$AG$4</f>
        <v>2659</v>
      </c>
      <c r="G49" s="986">
        <v>0</v>
      </c>
      <c r="H49" s="986">
        <v>0</v>
      </c>
      <c r="I49" s="986">
        <v>0</v>
      </c>
    </row>
    <row r="50" spans="1:9" x14ac:dyDescent="0.3">
      <c r="A50" s="1193"/>
      <c r="B50" s="1196"/>
      <c r="C50" s="141" t="s">
        <v>26</v>
      </c>
      <c r="D50" s="450" t="str">
        <f>IF(E50='Parametre - Agendové IS'!K7,"OK","Chyba počtu podaní")</f>
        <v>OK</v>
      </c>
      <c r="E50" s="451">
        <f t="shared" si="2"/>
        <v>2659</v>
      </c>
      <c r="F50" s="987">
        <f>F49</f>
        <v>2659</v>
      </c>
      <c r="G50" s="987">
        <v>0</v>
      </c>
      <c r="H50" s="987">
        <v>0</v>
      </c>
      <c r="I50" s="987">
        <v>0</v>
      </c>
    </row>
    <row r="51" spans="1:9" x14ac:dyDescent="0.3">
      <c r="A51" s="1193"/>
      <c r="B51" s="1196"/>
      <c r="C51" s="141" t="s">
        <v>27</v>
      </c>
      <c r="D51" s="450" t="str">
        <f>IF(E51='Parametre - Agendové IS'!K8,"OK","Chyba počtu podaní")</f>
        <v>OK</v>
      </c>
      <c r="E51" s="451">
        <f t="shared" si="2"/>
        <v>4170.40711195328</v>
      </c>
      <c r="F51" s="987">
        <f>'Procesy - TO BE'!$AE$52</f>
        <v>4170.40711195328</v>
      </c>
      <c r="G51" s="987">
        <v>0</v>
      </c>
      <c r="H51" s="987">
        <v>0</v>
      </c>
      <c r="I51" s="987">
        <v>0</v>
      </c>
    </row>
    <row r="52" spans="1:9" x14ac:dyDescent="0.3">
      <c r="A52" s="1193"/>
      <c r="B52" s="1196"/>
      <c r="C52" s="141" t="s">
        <v>28</v>
      </c>
      <c r="D52" s="450" t="str">
        <f>IF(E52='Parametre - Agendové IS'!K9,"OK","Chyba počtu podaní")</f>
        <v>OK</v>
      </c>
      <c r="E52" s="451">
        <f t="shared" si="2"/>
        <v>4170.40711195328</v>
      </c>
      <c r="F52" s="987">
        <f t="shared" ref="F52:F58" si="3">F51</f>
        <v>4170.40711195328</v>
      </c>
      <c r="G52" s="987">
        <v>0</v>
      </c>
      <c r="H52" s="987">
        <v>0</v>
      </c>
      <c r="I52" s="987">
        <v>0</v>
      </c>
    </row>
    <row r="53" spans="1:9" x14ac:dyDescent="0.3">
      <c r="A53" s="1193"/>
      <c r="B53" s="1196"/>
      <c r="C53" s="141" t="s">
        <v>29</v>
      </c>
      <c r="D53" s="450" t="str">
        <f>IF(E53='Parametre - Agendové IS'!K10,"OK","Chyba počtu podaní")</f>
        <v>OK</v>
      </c>
      <c r="E53" s="451">
        <f t="shared" si="2"/>
        <v>4170.40711195328</v>
      </c>
      <c r="F53" s="987">
        <f t="shared" si="3"/>
        <v>4170.40711195328</v>
      </c>
      <c r="G53" s="987">
        <v>0</v>
      </c>
      <c r="H53" s="987">
        <v>0</v>
      </c>
      <c r="I53" s="987">
        <v>0</v>
      </c>
    </row>
    <row r="54" spans="1:9" x14ac:dyDescent="0.3">
      <c r="A54" s="1193"/>
      <c r="B54" s="1196"/>
      <c r="C54" s="141" t="s">
        <v>30</v>
      </c>
      <c r="D54" s="450" t="str">
        <f>IF(E54='Parametre - Agendové IS'!K11,"OK","Chyba počtu podaní")</f>
        <v>OK</v>
      </c>
      <c r="E54" s="451">
        <f t="shared" si="2"/>
        <v>4170.40711195328</v>
      </c>
      <c r="F54" s="987">
        <f t="shared" si="3"/>
        <v>4170.40711195328</v>
      </c>
      <c r="G54" s="987">
        <v>0</v>
      </c>
      <c r="H54" s="987">
        <v>0</v>
      </c>
      <c r="I54" s="987">
        <v>0</v>
      </c>
    </row>
    <row r="55" spans="1:9" x14ac:dyDescent="0.3">
      <c r="A55" s="1193"/>
      <c r="B55" s="1196"/>
      <c r="C55" s="141" t="s">
        <v>31</v>
      </c>
      <c r="D55" s="450" t="str">
        <f>IF(E55='Parametre - Agendové IS'!K12,"OK","Chyba počtu podaní")</f>
        <v>OK</v>
      </c>
      <c r="E55" s="451">
        <f t="shared" si="2"/>
        <v>4170.40711195328</v>
      </c>
      <c r="F55" s="987">
        <f t="shared" si="3"/>
        <v>4170.40711195328</v>
      </c>
      <c r="G55" s="987">
        <v>0</v>
      </c>
      <c r="H55" s="987">
        <v>0</v>
      </c>
      <c r="I55" s="987">
        <v>0</v>
      </c>
    </row>
    <row r="56" spans="1:9" x14ac:dyDescent="0.3">
      <c r="A56" s="1193"/>
      <c r="B56" s="1196"/>
      <c r="C56" s="141" t="s">
        <v>32</v>
      </c>
      <c r="D56" s="450" t="str">
        <f>IF(E56='Parametre - Agendové IS'!K13,"OK","Chyba počtu podaní")</f>
        <v>OK</v>
      </c>
      <c r="E56" s="451">
        <f t="shared" si="2"/>
        <v>4170.40711195328</v>
      </c>
      <c r="F56" s="987">
        <f t="shared" si="3"/>
        <v>4170.40711195328</v>
      </c>
      <c r="G56" s="987">
        <v>0</v>
      </c>
      <c r="H56" s="987">
        <v>0</v>
      </c>
      <c r="I56" s="987">
        <v>0</v>
      </c>
    </row>
    <row r="57" spans="1:9" x14ac:dyDescent="0.3">
      <c r="A57" s="1193"/>
      <c r="B57" s="1196"/>
      <c r="C57" s="141" t="s">
        <v>33</v>
      </c>
      <c r="D57" s="450" t="str">
        <f>IF(E57='Parametre - Agendové IS'!K14,"OK","Chyba počtu podaní")</f>
        <v>OK</v>
      </c>
      <c r="E57" s="451">
        <f t="shared" si="2"/>
        <v>4170.40711195328</v>
      </c>
      <c r="F57" s="987">
        <f t="shared" si="3"/>
        <v>4170.40711195328</v>
      </c>
      <c r="G57" s="987">
        <v>0</v>
      </c>
      <c r="H57" s="987">
        <v>0</v>
      </c>
      <c r="I57" s="987">
        <v>0</v>
      </c>
    </row>
    <row r="58" spans="1:9" ht="15" thickBot="1" x14ac:dyDescent="0.35">
      <c r="A58" s="1194"/>
      <c r="B58" s="1197"/>
      <c r="C58" s="142" t="s">
        <v>34</v>
      </c>
      <c r="D58" s="450" t="str">
        <f>IF(E58='Parametre - Agendové IS'!K15,"OK","Chyba počtu podaní")</f>
        <v>OK</v>
      </c>
      <c r="E58" s="451">
        <f t="shared" si="2"/>
        <v>4170.40711195328</v>
      </c>
      <c r="F58" s="987">
        <f t="shared" si="3"/>
        <v>4170.40711195328</v>
      </c>
      <c r="G58" s="987">
        <v>0</v>
      </c>
      <c r="H58" s="987">
        <v>0</v>
      </c>
      <c r="I58" s="987">
        <v>0</v>
      </c>
    </row>
    <row r="59" spans="1:9" x14ac:dyDescent="0.3">
      <c r="A59" s="1192" t="s">
        <v>39</v>
      </c>
      <c r="B59" s="1195" t="s">
        <v>13</v>
      </c>
      <c r="C59" s="144" t="s">
        <v>25</v>
      </c>
      <c r="D59" s="449" t="str">
        <f>IF(E59='Parametre - Agendové IS'!K157,"OK","Chyba")</f>
        <v>OK</v>
      </c>
      <c r="E59" s="454">
        <f t="shared" si="2"/>
        <v>85968.951982275656</v>
      </c>
      <c r="F59" s="545">
        <f>'Parametre - Agendové IS'!$K76</f>
        <v>85968.951982275656</v>
      </c>
      <c r="G59" s="545">
        <v>0</v>
      </c>
      <c r="H59" s="545">
        <v>0</v>
      </c>
      <c r="I59" s="545">
        <v>0</v>
      </c>
    </row>
    <row r="60" spans="1:9" x14ac:dyDescent="0.3">
      <c r="A60" s="1193"/>
      <c r="B60" s="1196"/>
      <c r="C60" s="141" t="s">
        <v>26</v>
      </c>
      <c r="D60" s="450" t="str">
        <f>IF(E60='Parametre - Agendové IS'!K158,"OK","Chyba")</f>
        <v>OK</v>
      </c>
      <c r="E60" s="451">
        <f t="shared" si="2"/>
        <v>85968.951982275656</v>
      </c>
      <c r="F60" s="546">
        <f>'Parametre - Agendové IS'!$K77</f>
        <v>85968.951982275656</v>
      </c>
      <c r="G60" s="546">
        <v>0</v>
      </c>
      <c r="H60" s="546">
        <v>0</v>
      </c>
      <c r="I60" s="546">
        <v>0</v>
      </c>
    </row>
    <row r="61" spans="1:9" x14ac:dyDescent="0.3">
      <c r="A61" s="1193"/>
      <c r="B61" s="1196"/>
      <c r="C61" s="141" t="s">
        <v>27</v>
      </c>
      <c r="D61" s="450" t="str">
        <f>IF(E61='Parametre - Agendové IS'!K159,"OK","Chyba")</f>
        <v>OK</v>
      </c>
      <c r="E61" s="451">
        <f t="shared" si="2"/>
        <v>159344.67944624551</v>
      </c>
      <c r="F61" s="546">
        <f>'Parametre - Agendové IS'!$K78</f>
        <v>159344.67944624551</v>
      </c>
      <c r="G61" s="546">
        <v>0</v>
      </c>
      <c r="H61" s="546">
        <v>0</v>
      </c>
      <c r="I61" s="546">
        <v>0</v>
      </c>
    </row>
    <row r="62" spans="1:9" x14ac:dyDescent="0.3">
      <c r="A62" s="1193"/>
      <c r="B62" s="1196"/>
      <c r="C62" s="141" t="s">
        <v>28</v>
      </c>
      <c r="D62" s="450" t="str">
        <f>IF(E62='Parametre - Agendové IS'!K160,"OK","Chyba")</f>
        <v>OK</v>
      </c>
      <c r="E62" s="451">
        <f t="shared" si="2"/>
        <v>159344.67944624551</v>
      </c>
      <c r="F62" s="546">
        <f>'Parametre - Agendové IS'!$K79</f>
        <v>159344.67944624551</v>
      </c>
      <c r="G62" s="546">
        <v>0</v>
      </c>
      <c r="H62" s="546">
        <v>0</v>
      </c>
      <c r="I62" s="546">
        <v>0</v>
      </c>
    </row>
    <row r="63" spans="1:9" x14ac:dyDescent="0.3">
      <c r="A63" s="1193"/>
      <c r="B63" s="1196"/>
      <c r="C63" s="141" t="s">
        <v>29</v>
      </c>
      <c r="D63" s="450" t="str">
        <f>IF(E63='Parametre - Agendové IS'!K161,"OK","Chyba")</f>
        <v>OK</v>
      </c>
      <c r="E63" s="451">
        <f t="shared" si="2"/>
        <v>159344.67944624551</v>
      </c>
      <c r="F63" s="546">
        <f>'Parametre - Agendové IS'!$K80</f>
        <v>159344.67944624551</v>
      </c>
      <c r="G63" s="546">
        <v>0</v>
      </c>
      <c r="H63" s="546">
        <v>0</v>
      </c>
      <c r="I63" s="546">
        <v>0</v>
      </c>
    </row>
    <row r="64" spans="1:9" x14ac:dyDescent="0.3">
      <c r="A64" s="1193"/>
      <c r="B64" s="1196"/>
      <c r="C64" s="141" t="s">
        <v>30</v>
      </c>
      <c r="D64" s="450" t="str">
        <f>IF(E64='Parametre - Agendové IS'!K162,"OK","Chyba")</f>
        <v>OK</v>
      </c>
      <c r="E64" s="451">
        <f t="shared" si="2"/>
        <v>159344.67944624551</v>
      </c>
      <c r="F64" s="546">
        <f>'Parametre - Agendové IS'!$K81</f>
        <v>159344.67944624551</v>
      </c>
      <c r="G64" s="546">
        <v>0</v>
      </c>
      <c r="H64" s="546">
        <v>0</v>
      </c>
      <c r="I64" s="546">
        <v>0</v>
      </c>
    </row>
    <row r="65" spans="1:9" x14ac:dyDescent="0.3">
      <c r="A65" s="1193"/>
      <c r="B65" s="1196"/>
      <c r="C65" s="141" t="s">
        <v>31</v>
      </c>
      <c r="D65" s="450" t="str">
        <f>IF(E65='Parametre - Agendové IS'!K163,"OK","Chyba")</f>
        <v>OK</v>
      </c>
      <c r="E65" s="451">
        <f t="shared" si="2"/>
        <v>159344.67944624551</v>
      </c>
      <c r="F65" s="546">
        <f>'Parametre - Agendové IS'!$K82</f>
        <v>159344.67944624551</v>
      </c>
      <c r="G65" s="546">
        <v>0</v>
      </c>
      <c r="H65" s="546">
        <v>0</v>
      </c>
      <c r="I65" s="546">
        <v>0</v>
      </c>
    </row>
    <row r="66" spans="1:9" x14ac:dyDescent="0.3">
      <c r="A66" s="1193"/>
      <c r="B66" s="1196"/>
      <c r="C66" s="141" t="s">
        <v>32</v>
      </c>
      <c r="D66" s="450" t="str">
        <f>IF(E66='Parametre - Agendové IS'!K164,"OK","Chyba")</f>
        <v>OK</v>
      </c>
      <c r="E66" s="451">
        <f t="shared" si="2"/>
        <v>159344.67944624551</v>
      </c>
      <c r="F66" s="546">
        <f>'Parametre - Agendové IS'!$K83</f>
        <v>159344.67944624551</v>
      </c>
      <c r="G66" s="546">
        <v>0</v>
      </c>
      <c r="H66" s="546">
        <v>0</v>
      </c>
      <c r="I66" s="546">
        <v>0</v>
      </c>
    </row>
    <row r="67" spans="1:9" x14ac:dyDescent="0.3">
      <c r="A67" s="1193"/>
      <c r="B67" s="1196"/>
      <c r="C67" s="141" t="s">
        <v>33</v>
      </c>
      <c r="D67" s="450" t="str">
        <f>IF(E67='Parametre - Agendové IS'!K165,"OK","Chyba")</f>
        <v>OK</v>
      </c>
      <c r="E67" s="451">
        <f t="shared" si="2"/>
        <v>159344.67944624551</v>
      </c>
      <c r="F67" s="546">
        <f>'Parametre - Agendové IS'!$K84</f>
        <v>159344.67944624551</v>
      </c>
      <c r="G67" s="546">
        <v>0</v>
      </c>
      <c r="H67" s="546">
        <v>0</v>
      </c>
      <c r="I67" s="546">
        <v>0</v>
      </c>
    </row>
    <row r="68" spans="1:9" ht="15" thickBot="1" x14ac:dyDescent="0.35">
      <c r="A68" s="1194"/>
      <c r="B68" s="1197"/>
      <c r="C68" s="142" t="s">
        <v>34</v>
      </c>
      <c r="D68" s="450" t="str">
        <f>IF(E68='Parametre - Agendové IS'!K166,"OK","Chyba")</f>
        <v>OK</v>
      </c>
      <c r="E68" s="451">
        <f t="shared" si="2"/>
        <v>159344.67944624551</v>
      </c>
      <c r="F68" s="546">
        <f>'Parametre - Agendové IS'!$K85</f>
        <v>159344.67944624551</v>
      </c>
      <c r="G68" s="546">
        <v>0</v>
      </c>
      <c r="H68" s="546">
        <v>0</v>
      </c>
      <c r="I68" s="546">
        <v>0</v>
      </c>
    </row>
    <row r="71" spans="1:9" ht="15" thickBot="1" x14ac:dyDescent="0.35"/>
    <row r="72" spans="1:9" x14ac:dyDescent="0.3">
      <c r="A72" s="1198" t="str">
        <f>'Parametre - Agendové IS'!M1</f>
        <v>3. Verejný portál KSED</v>
      </c>
      <c r="B72" s="1199"/>
      <c r="C72" s="1200"/>
      <c r="D72" s="1204" t="s">
        <v>103</v>
      </c>
      <c r="E72" s="1205"/>
      <c r="F72" s="262" t="str">
        <f>$F$2</f>
        <v>SIŽP</v>
      </c>
      <c r="G72" s="262" t="s">
        <v>154</v>
      </c>
      <c r="H72" s="262" t="s">
        <v>155</v>
      </c>
      <c r="I72" s="262" t="s">
        <v>157</v>
      </c>
    </row>
    <row r="73" spans="1:9" ht="15" thickBot="1" x14ac:dyDescent="0.35">
      <c r="A73" s="1201"/>
      <c r="B73" s="1202"/>
      <c r="C73" s="1203"/>
      <c r="D73" s="446" t="s">
        <v>302</v>
      </c>
      <c r="E73" s="447" t="s">
        <v>156</v>
      </c>
      <c r="F73" s="143" t="s">
        <v>156</v>
      </c>
      <c r="G73" s="143" t="s">
        <v>156</v>
      </c>
      <c r="H73" s="143" t="s">
        <v>156</v>
      </c>
      <c r="I73" s="143" t="s">
        <v>156</v>
      </c>
    </row>
    <row r="74" spans="1:9" x14ac:dyDescent="0.3">
      <c r="A74" s="1192" t="s">
        <v>43</v>
      </c>
      <c r="B74" s="1195" t="s">
        <v>174</v>
      </c>
      <c r="C74" s="144" t="s">
        <v>25</v>
      </c>
      <c r="D74" s="448" t="str">
        <f>IF(E74='Parametre - Agendové IS'!N107,"OK","Chyba počtu FTE")</f>
        <v>OK</v>
      </c>
      <c r="E74" s="449">
        <f t="shared" ref="E74:E103" si="4">F74+G74+H74+I74</f>
        <v>3.6202639244903039</v>
      </c>
      <c r="F74" s="983">
        <f>'Parametre - Agendové IS'!N6*'Parametre - Agendové IS'!N46/12/21/7.5</f>
        <v>3.6202639244903039</v>
      </c>
      <c r="G74" s="983">
        <v>0</v>
      </c>
      <c r="H74" s="983">
        <v>0</v>
      </c>
      <c r="I74" s="983">
        <v>0</v>
      </c>
    </row>
    <row r="75" spans="1:9" x14ac:dyDescent="0.3">
      <c r="A75" s="1193"/>
      <c r="B75" s="1196"/>
      <c r="C75" s="141" t="s">
        <v>26</v>
      </c>
      <c r="D75" s="450" t="str">
        <f>IF(E75='Parametre - Agendové IS'!N108,"OK","Chyba počtu FTE")</f>
        <v>OK</v>
      </c>
      <c r="E75" s="451">
        <f t="shared" si="4"/>
        <v>3.6202639244903039</v>
      </c>
      <c r="F75" s="984">
        <f>'Parametre - Agendové IS'!N7*'Parametre - Agendové IS'!N47/12/21/7.5</f>
        <v>3.6202639244903039</v>
      </c>
      <c r="G75" s="984">
        <v>0</v>
      </c>
      <c r="H75" s="984">
        <v>0</v>
      </c>
      <c r="I75" s="984">
        <v>0</v>
      </c>
    </row>
    <row r="76" spans="1:9" x14ac:dyDescent="0.3">
      <c r="A76" s="1193"/>
      <c r="B76" s="1196"/>
      <c r="C76" s="141" t="s">
        <v>27</v>
      </c>
      <c r="D76" s="450" t="str">
        <f>IF(E76='Parametre - Agendové IS'!N109,"OK","Chyba počtu FTE")</f>
        <v>OK</v>
      </c>
      <c r="E76" s="451">
        <f t="shared" si="4"/>
        <v>3.6202639244903025</v>
      </c>
      <c r="F76" s="984">
        <f>'Parametre - Agendové IS'!N8*'Parametre - Agendové IS'!N48/12/21/7.5</f>
        <v>3.6202639244903025</v>
      </c>
      <c r="G76" s="984">
        <v>0</v>
      </c>
      <c r="H76" s="984">
        <v>0</v>
      </c>
      <c r="I76" s="984">
        <v>0</v>
      </c>
    </row>
    <row r="77" spans="1:9" x14ac:dyDescent="0.3">
      <c r="A77" s="1193"/>
      <c r="B77" s="1196"/>
      <c r="C77" s="141" t="s">
        <v>28</v>
      </c>
      <c r="D77" s="450" t="str">
        <f>IF(E77='Parametre - Agendové IS'!N110,"OK","Chyba počtu FTE")</f>
        <v>OK</v>
      </c>
      <c r="E77" s="451">
        <f t="shared" si="4"/>
        <v>3.6202639244903025</v>
      </c>
      <c r="F77" s="984">
        <f>'Parametre - Agendové IS'!N9*'Parametre - Agendové IS'!N49/12/21/7.5</f>
        <v>3.6202639244903025</v>
      </c>
      <c r="G77" s="984">
        <v>0</v>
      </c>
      <c r="H77" s="984">
        <v>0</v>
      </c>
      <c r="I77" s="984">
        <v>0</v>
      </c>
    </row>
    <row r="78" spans="1:9" x14ac:dyDescent="0.3">
      <c r="A78" s="1193"/>
      <c r="B78" s="1196"/>
      <c r="C78" s="141" t="s">
        <v>29</v>
      </c>
      <c r="D78" s="450" t="str">
        <f>IF(E78='Parametre - Agendové IS'!N111,"OK","Chyba počtu FTE")</f>
        <v>OK</v>
      </c>
      <c r="E78" s="451">
        <f t="shared" si="4"/>
        <v>3.6202639244903025</v>
      </c>
      <c r="F78" s="984">
        <f>'Parametre - Agendové IS'!N10*'Parametre - Agendové IS'!N50/12/21/7.5</f>
        <v>3.6202639244903025</v>
      </c>
      <c r="G78" s="984">
        <v>0</v>
      </c>
      <c r="H78" s="984">
        <v>0</v>
      </c>
      <c r="I78" s="984">
        <v>0</v>
      </c>
    </row>
    <row r="79" spans="1:9" x14ac:dyDescent="0.3">
      <c r="A79" s="1193"/>
      <c r="B79" s="1196"/>
      <c r="C79" s="141" t="s">
        <v>30</v>
      </c>
      <c r="D79" s="450" t="str">
        <f>IF(E79='Parametre - Agendové IS'!N112,"OK","Chyba počtu FTE")</f>
        <v>OK</v>
      </c>
      <c r="E79" s="451">
        <f t="shared" si="4"/>
        <v>3.6202639244903025</v>
      </c>
      <c r="F79" s="984">
        <f>'Parametre - Agendové IS'!N11*'Parametre - Agendové IS'!N51/12/21/7.5</f>
        <v>3.6202639244903025</v>
      </c>
      <c r="G79" s="984">
        <v>0</v>
      </c>
      <c r="H79" s="984">
        <v>0</v>
      </c>
      <c r="I79" s="984">
        <v>0</v>
      </c>
    </row>
    <row r="80" spans="1:9" x14ac:dyDescent="0.3">
      <c r="A80" s="1193"/>
      <c r="B80" s="1196"/>
      <c r="C80" s="141" t="s">
        <v>31</v>
      </c>
      <c r="D80" s="450" t="str">
        <f>IF(E80='Parametre - Agendové IS'!N113,"OK","Chyba počtu FTE")</f>
        <v>OK</v>
      </c>
      <c r="E80" s="451">
        <f t="shared" si="4"/>
        <v>3.6202639244903025</v>
      </c>
      <c r="F80" s="984">
        <f>'Parametre - Agendové IS'!N12*'Parametre - Agendové IS'!N52/12/21/7.5</f>
        <v>3.6202639244903025</v>
      </c>
      <c r="G80" s="984">
        <v>0</v>
      </c>
      <c r="H80" s="984">
        <v>0</v>
      </c>
      <c r="I80" s="984">
        <v>0</v>
      </c>
    </row>
    <row r="81" spans="1:9" x14ac:dyDescent="0.3">
      <c r="A81" s="1193"/>
      <c r="B81" s="1196"/>
      <c r="C81" s="141" t="s">
        <v>32</v>
      </c>
      <c r="D81" s="450" t="str">
        <f>IF(E81='Parametre - Agendové IS'!N114,"OK","Chyba počtu FTE")</f>
        <v>OK</v>
      </c>
      <c r="E81" s="451">
        <f t="shared" si="4"/>
        <v>3.6202639244903025</v>
      </c>
      <c r="F81" s="984">
        <f>'Parametre - Agendové IS'!N13*'Parametre - Agendové IS'!N53/12/21/7.5</f>
        <v>3.6202639244903025</v>
      </c>
      <c r="G81" s="984">
        <v>0</v>
      </c>
      <c r="H81" s="984">
        <v>0</v>
      </c>
      <c r="I81" s="984">
        <v>0</v>
      </c>
    </row>
    <row r="82" spans="1:9" x14ac:dyDescent="0.3">
      <c r="A82" s="1193"/>
      <c r="B82" s="1196"/>
      <c r="C82" s="141" t="s">
        <v>33</v>
      </c>
      <c r="D82" s="450" t="str">
        <f>IF(E82='Parametre - Agendové IS'!N115,"OK","Chyba počtu FTE")</f>
        <v>OK</v>
      </c>
      <c r="E82" s="451">
        <f t="shared" si="4"/>
        <v>3.6202639244903025</v>
      </c>
      <c r="F82" s="984">
        <f>'Parametre - Agendové IS'!N14*'Parametre - Agendové IS'!N54/12/21/7.5</f>
        <v>3.6202639244903025</v>
      </c>
      <c r="G82" s="984">
        <v>0</v>
      </c>
      <c r="H82" s="984">
        <v>0</v>
      </c>
      <c r="I82" s="984">
        <v>0</v>
      </c>
    </row>
    <row r="83" spans="1:9" ht="15" thickBot="1" x14ac:dyDescent="0.35">
      <c r="A83" s="1193"/>
      <c r="B83" s="1196"/>
      <c r="C83" s="141" t="s">
        <v>34</v>
      </c>
      <c r="D83" s="452" t="str">
        <f>IF(E83='Parametre - Agendové IS'!N116,"OK","Chyba počtu FTE")</f>
        <v>OK</v>
      </c>
      <c r="E83" s="453">
        <f t="shared" si="4"/>
        <v>3.6202639244903025</v>
      </c>
      <c r="F83" s="985">
        <f>'Parametre - Agendové IS'!N15*'Parametre - Agendové IS'!N55/12/21/7.5</f>
        <v>3.6202639244903025</v>
      </c>
      <c r="G83" s="985">
        <v>0</v>
      </c>
      <c r="H83" s="985">
        <v>0</v>
      </c>
      <c r="I83" s="985">
        <v>0</v>
      </c>
    </row>
    <row r="84" spans="1:9" x14ac:dyDescent="0.3">
      <c r="A84" s="1192" t="s">
        <v>41</v>
      </c>
      <c r="B84" s="1195" t="s">
        <v>37</v>
      </c>
      <c r="C84" s="144" t="s">
        <v>25</v>
      </c>
      <c r="D84" s="449" t="str">
        <f>IF(E84='Parametre - Agendové IS'!N6,"OK","Chyba počtu podaní")</f>
        <v>OK</v>
      </c>
      <c r="E84" s="454">
        <f t="shared" si="4"/>
        <v>2659</v>
      </c>
      <c r="F84" s="986">
        <f>'Procesy - AS IS'!$AG$4</f>
        <v>2659</v>
      </c>
      <c r="G84" s="986">
        <v>0</v>
      </c>
      <c r="H84" s="986">
        <v>0</v>
      </c>
      <c r="I84" s="986">
        <v>0</v>
      </c>
    </row>
    <row r="85" spans="1:9" x14ac:dyDescent="0.3">
      <c r="A85" s="1193"/>
      <c r="B85" s="1196"/>
      <c r="C85" s="141" t="s">
        <v>26</v>
      </c>
      <c r="D85" s="450" t="str">
        <f>IF(E85='Parametre - Agendové IS'!N7,"OK","Chyba počtu podaní")</f>
        <v>OK</v>
      </c>
      <c r="E85" s="451">
        <f t="shared" si="4"/>
        <v>2659</v>
      </c>
      <c r="F85" s="987">
        <f>F84</f>
        <v>2659</v>
      </c>
      <c r="G85" s="987">
        <v>0</v>
      </c>
      <c r="H85" s="987">
        <v>0</v>
      </c>
      <c r="I85" s="987">
        <v>0</v>
      </c>
    </row>
    <row r="86" spans="1:9" x14ac:dyDescent="0.3">
      <c r="A86" s="1193"/>
      <c r="B86" s="1196"/>
      <c r="C86" s="141" t="s">
        <v>27</v>
      </c>
      <c r="D86" s="450" t="str">
        <f>IF(E86='Parametre - Agendové IS'!N8,"OK","Chyba počtu podaní")</f>
        <v>OK</v>
      </c>
      <c r="E86" s="451">
        <f t="shared" si="4"/>
        <v>4170.40711195328</v>
      </c>
      <c r="F86" s="987">
        <f>'Procesy - TO BE'!$AE$52</f>
        <v>4170.40711195328</v>
      </c>
      <c r="G86" s="987">
        <v>0</v>
      </c>
      <c r="H86" s="987">
        <v>0</v>
      </c>
      <c r="I86" s="987">
        <v>0</v>
      </c>
    </row>
    <row r="87" spans="1:9" x14ac:dyDescent="0.3">
      <c r="A87" s="1193"/>
      <c r="B87" s="1196"/>
      <c r="C87" s="141" t="s">
        <v>28</v>
      </c>
      <c r="D87" s="450" t="str">
        <f>IF(E87='Parametre - Agendové IS'!N9,"OK","Chyba počtu podaní")</f>
        <v>OK</v>
      </c>
      <c r="E87" s="451">
        <f t="shared" si="4"/>
        <v>4170.40711195328</v>
      </c>
      <c r="F87" s="987">
        <f t="shared" ref="F87:F93" si="5">F86</f>
        <v>4170.40711195328</v>
      </c>
      <c r="G87" s="987">
        <v>0</v>
      </c>
      <c r="H87" s="987">
        <v>0</v>
      </c>
      <c r="I87" s="987">
        <v>0</v>
      </c>
    </row>
    <row r="88" spans="1:9" x14ac:dyDescent="0.3">
      <c r="A88" s="1193"/>
      <c r="B88" s="1196"/>
      <c r="C88" s="141" t="s">
        <v>29</v>
      </c>
      <c r="D88" s="450" t="str">
        <f>IF(E88='Parametre - Agendové IS'!N10,"OK","Chyba počtu podaní")</f>
        <v>OK</v>
      </c>
      <c r="E88" s="451">
        <f t="shared" si="4"/>
        <v>4170.40711195328</v>
      </c>
      <c r="F88" s="987">
        <f t="shared" si="5"/>
        <v>4170.40711195328</v>
      </c>
      <c r="G88" s="987">
        <v>0</v>
      </c>
      <c r="H88" s="987">
        <v>0</v>
      </c>
      <c r="I88" s="987">
        <v>0</v>
      </c>
    </row>
    <row r="89" spans="1:9" x14ac:dyDescent="0.3">
      <c r="A89" s="1193"/>
      <c r="B89" s="1196"/>
      <c r="C89" s="141" t="s">
        <v>30</v>
      </c>
      <c r="D89" s="450" t="str">
        <f>IF(E89='Parametre - Agendové IS'!N11,"OK","Chyba počtu podaní")</f>
        <v>OK</v>
      </c>
      <c r="E89" s="451">
        <f t="shared" si="4"/>
        <v>4170.40711195328</v>
      </c>
      <c r="F89" s="987">
        <f t="shared" si="5"/>
        <v>4170.40711195328</v>
      </c>
      <c r="G89" s="987">
        <v>0</v>
      </c>
      <c r="H89" s="987">
        <v>0</v>
      </c>
      <c r="I89" s="987">
        <v>0</v>
      </c>
    </row>
    <row r="90" spans="1:9" x14ac:dyDescent="0.3">
      <c r="A90" s="1193"/>
      <c r="B90" s="1196"/>
      <c r="C90" s="141" t="s">
        <v>31</v>
      </c>
      <c r="D90" s="450" t="str">
        <f>IF(E90='Parametre - Agendové IS'!N12,"OK","Chyba počtu podaní")</f>
        <v>OK</v>
      </c>
      <c r="E90" s="451">
        <f t="shared" si="4"/>
        <v>4170.40711195328</v>
      </c>
      <c r="F90" s="987">
        <f t="shared" si="5"/>
        <v>4170.40711195328</v>
      </c>
      <c r="G90" s="987">
        <v>0</v>
      </c>
      <c r="H90" s="987">
        <v>0</v>
      </c>
      <c r="I90" s="987">
        <v>0</v>
      </c>
    </row>
    <row r="91" spans="1:9" x14ac:dyDescent="0.3">
      <c r="A91" s="1193"/>
      <c r="B91" s="1196"/>
      <c r="C91" s="141" t="s">
        <v>32</v>
      </c>
      <c r="D91" s="450" t="str">
        <f>IF(E91='Parametre - Agendové IS'!N13,"OK","Chyba počtu podaní")</f>
        <v>OK</v>
      </c>
      <c r="E91" s="451">
        <f t="shared" si="4"/>
        <v>4170.40711195328</v>
      </c>
      <c r="F91" s="987">
        <f t="shared" si="5"/>
        <v>4170.40711195328</v>
      </c>
      <c r="G91" s="987">
        <v>0</v>
      </c>
      <c r="H91" s="987">
        <v>0</v>
      </c>
      <c r="I91" s="987">
        <v>0</v>
      </c>
    </row>
    <row r="92" spans="1:9" x14ac:dyDescent="0.3">
      <c r="A92" s="1193"/>
      <c r="B92" s="1196"/>
      <c r="C92" s="141" t="s">
        <v>33</v>
      </c>
      <c r="D92" s="450" t="str">
        <f>IF(E92='Parametre - Agendové IS'!N14,"OK","Chyba počtu podaní")</f>
        <v>OK</v>
      </c>
      <c r="E92" s="451">
        <f t="shared" si="4"/>
        <v>4170.40711195328</v>
      </c>
      <c r="F92" s="987">
        <f t="shared" si="5"/>
        <v>4170.40711195328</v>
      </c>
      <c r="G92" s="987">
        <v>0</v>
      </c>
      <c r="H92" s="987">
        <v>0</v>
      </c>
      <c r="I92" s="987">
        <v>0</v>
      </c>
    </row>
    <row r="93" spans="1:9" ht="15" thickBot="1" x14ac:dyDescent="0.35">
      <c r="A93" s="1194"/>
      <c r="B93" s="1197"/>
      <c r="C93" s="142" t="s">
        <v>34</v>
      </c>
      <c r="D93" s="450" t="str">
        <f>IF(E93='Parametre - Agendové IS'!N15,"OK","Chyba počtu podaní")</f>
        <v>OK</v>
      </c>
      <c r="E93" s="451">
        <f t="shared" si="4"/>
        <v>4170.40711195328</v>
      </c>
      <c r="F93" s="987">
        <f t="shared" si="5"/>
        <v>4170.40711195328</v>
      </c>
      <c r="G93" s="987">
        <v>0</v>
      </c>
      <c r="H93" s="987">
        <v>0</v>
      </c>
      <c r="I93" s="987">
        <v>0</v>
      </c>
    </row>
    <row r="94" spans="1:9" x14ac:dyDescent="0.3">
      <c r="A94" s="1192" t="s">
        <v>39</v>
      </c>
      <c r="B94" s="1195" t="s">
        <v>13</v>
      </c>
      <c r="C94" s="144" t="s">
        <v>25</v>
      </c>
      <c r="D94" s="449" t="str">
        <f>IF(E94='Parametre - Agendové IS'!N157,"OK","Chyba")</f>
        <v>OK</v>
      </c>
      <c r="E94" s="454">
        <f t="shared" si="4"/>
        <v>42776.106773688232</v>
      </c>
      <c r="F94" s="545">
        <f>'Parametre - Agendové IS'!$N76</f>
        <v>42776.106773688232</v>
      </c>
      <c r="G94" s="545">
        <v>0</v>
      </c>
      <c r="H94" s="545">
        <v>0</v>
      </c>
      <c r="I94" s="545">
        <v>0</v>
      </c>
    </row>
    <row r="95" spans="1:9" x14ac:dyDescent="0.3">
      <c r="A95" s="1193"/>
      <c r="B95" s="1196"/>
      <c r="C95" s="141" t="s">
        <v>26</v>
      </c>
      <c r="D95" s="450" t="str">
        <f>IF(E95='Parametre - Agendové IS'!N158,"OK","Chyba")</f>
        <v>OK</v>
      </c>
      <c r="E95" s="451">
        <f t="shared" si="4"/>
        <v>42776.106773688232</v>
      </c>
      <c r="F95" s="546">
        <f>'Parametre - Agendové IS'!$N77</f>
        <v>42776.106773688232</v>
      </c>
      <c r="G95" s="546">
        <v>0</v>
      </c>
      <c r="H95" s="546">
        <v>0</v>
      </c>
      <c r="I95" s="546">
        <v>0</v>
      </c>
    </row>
    <row r="96" spans="1:9" x14ac:dyDescent="0.3">
      <c r="A96" s="1193"/>
      <c r="B96" s="1196"/>
      <c r="C96" s="141" t="s">
        <v>27</v>
      </c>
      <c r="D96" s="450" t="str">
        <f>IF(E96='Parametre - Agendové IS'!N159,"OK","Chyba")</f>
        <v>OK</v>
      </c>
      <c r="E96" s="451">
        <f t="shared" si="4"/>
        <v>79286.124404738788</v>
      </c>
      <c r="F96" s="546">
        <f>'Parametre - Agendové IS'!$N78</f>
        <v>79286.124404738788</v>
      </c>
      <c r="G96" s="546">
        <v>0</v>
      </c>
      <c r="H96" s="546">
        <v>0</v>
      </c>
      <c r="I96" s="546">
        <v>0</v>
      </c>
    </row>
    <row r="97" spans="1:9" x14ac:dyDescent="0.3">
      <c r="A97" s="1193"/>
      <c r="B97" s="1196"/>
      <c r="C97" s="141" t="s">
        <v>28</v>
      </c>
      <c r="D97" s="450" t="str">
        <f>IF(E97='Parametre - Agendové IS'!N160,"OK","Chyba")</f>
        <v>OK</v>
      </c>
      <c r="E97" s="451">
        <f t="shared" si="4"/>
        <v>79286.124404738788</v>
      </c>
      <c r="F97" s="546">
        <f>'Parametre - Agendové IS'!$N79</f>
        <v>79286.124404738788</v>
      </c>
      <c r="G97" s="546">
        <v>0</v>
      </c>
      <c r="H97" s="546">
        <v>0</v>
      </c>
      <c r="I97" s="546">
        <v>0</v>
      </c>
    </row>
    <row r="98" spans="1:9" x14ac:dyDescent="0.3">
      <c r="A98" s="1193"/>
      <c r="B98" s="1196"/>
      <c r="C98" s="141" t="s">
        <v>29</v>
      </c>
      <c r="D98" s="450" t="str">
        <f>IF(E98='Parametre - Agendové IS'!N161,"OK","Chyba")</f>
        <v>OK</v>
      </c>
      <c r="E98" s="451">
        <f t="shared" si="4"/>
        <v>79286.124404738788</v>
      </c>
      <c r="F98" s="546">
        <f>'Parametre - Agendové IS'!$N80</f>
        <v>79286.124404738788</v>
      </c>
      <c r="G98" s="546">
        <v>0</v>
      </c>
      <c r="H98" s="546">
        <v>0</v>
      </c>
      <c r="I98" s="546">
        <v>0</v>
      </c>
    </row>
    <row r="99" spans="1:9" x14ac:dyDescent="0.3">
      <c r="A99" s="1193"/>
      <c r="B99" s="1196"/>
      <c r="C99" s="141" t="s">
        <v>30</v>
      </c>
      <c r="D99" s="450" t="str">
        <f>IF(E99='Parametre - Agendové IS'!N162,"OK","Chyba")</f>
        <v>OK</v>
      </c>
      <c r="E99" s="451">
        <f t="shared" si="4"/>
        <v>79286.124404738788</v>
      </c>
      <c r="F99" s="546">
        <f>'Parametre - Agendové IS'!$N81</f>
        <v>79286.124404738788</v>
      </c>
      <c r="G99" s="546">
        <v>0</v>
      </c>
      <c r="H99" s="546">
        <v>0</v>
      </c>
      <c r="I99" s="546">
        <v>0</v>
      </c>
    </row>
    <row r="100" spans="1:9" x14ac:dyDescent="0.3">
      <c r="A100" s="1193"/>
      <c r="B100" s="1196"/>
      <c r="C100" s="141" t="s">
        <v>31</v>
      </c>
      <c r="D100" s="450" t="str">
        <f>IF(E100='Parametre - Agendové IS'!N163,"OK","Chyba")</f>
        <v>OK</v>
      </c>
      <c r="E100" s="451">
        <f t="shared" si="4"/>
        <v>79286.124404738788</v>
      </c>
      <c r="F100" s="546">
        <f>'Parametre - Agendové IS'!$N82</f>
        <v>79286.124404738788</v>
      </c>
      <c r="G100" s="546">
        <v>0</v>
      </c>
      <c r="H100" s="546">
        <v>0</v>
      </c>
      <c r="I100" s="546">
        <v>0</v>
      </c>
    </row>
    <row r="101" spans="1:9" x14ac:dyDescent="0.3">
      <c r="A101" s="1193"/>
      <c r="B101" s="1196"/>
      <c r="C101" s="141" t="s">
        <v>32</v>
      </c>
      <c r="D101" s="450" t="str">
        <f>IF(E101='Parametre - Agendové IS'!N164,"OK","Chyba")</f>
        <v>OK</v>
      </c>
      <c r="E101" s="451">
        <f t="shared" si="4"/>
        <v>79286.124404738788</v>
      </c>
      <c r="F101" s="546">
        <f>'Parametre - Agendové IS'!$N83</f>
        <v>79286.124404738788</v>
      </c>
      <c r="G101" s="546">
        <v>0</v>
      </c>
      <c r="H101" s="546">
        <v>0</v>
      </c>
      <c r="I101" s="546">
        <v>0</v>
      </c>
    </row>
    <row r="102" spans="1:9" x14ac:dyDescent="0.3">
      <c r="A102" s="1193"/>
      <c r="B102" s="1196"/>
      <c r="C102" s="141" t="s">
        <v>33</v>
      </c>
      <c r="D102" s="450" t="str">
        <f>IF(E102='Parametre - Agendové IS'!N165,"OK","Chyba")</f>
        <v>OK</v>
      </c>
      <c r="E102" s="451">
        <f t="shared" si="4"/>
        <v>79286.124404738788</v>
      </c>
      <c r="F102" s="546">
        <f>'Parametre - Agendové IS'!$N84</f>
        <v>79286.124404738788</v>
      </c>
      <c r="G102" s="546">
        <v>0</v>
      </c>
      <c r="H102" s="546">
        <v>0</v>
      </c>
      <c r="I102" s="546">
        <v>0</v>
      </c>
    </row>
    <row r="103" spans="1:9" ht="15" thickBot="1" x14ac:dyDescent="0.35">
      <c r="A103" s="1194"/>
      <c r="B103" s="1197"/>
      <c r="C103" s="142" t="s">
        <v>34</v>
      </c>
      <c r="D103" s="450" t="str">
        <f>IF(E103='Parametre - Agendové IS'!N166,"OK","Chyba")</f>
        <v>OK</v>
      </c>
      <c r="E103" s="451">
        <f t="shared" si="4"/>
        <v>79286.124404738788</v>
      </c>
      <c r="F103" s="546">
        <f>'Parametre - Agendové IS'!$N85</f>
        <v>79286.124404738788</v>
      </c>
      <c r="G103" s="546">
        <v>0</v>
      </c>
      <c r="H103" s="546">
        <v>0</v>
      </c>
      <c r="I103" s="546">
        <v>0</v>
      </c>
    </row>
    <row r="106" spans="1:9" ht="15" thickBot="1" x14ac:dyDescent="0.35"/>
    <row r="107" spans="1:9" x14ac:dyDescent="0.3">
      <c r="A107" s="1198" t="str">
        <f>'Parametre - Agendové IS'!P1</f>
        <v>4. Mobilná aplikácia Podnety</v>
      </c>
      <c r="B107" s="1199"/>
      <c r="C107" s="1200"/>
      <c r="D107" s="1204" t="s">
        <v>103</v>
      </c>
      <c r="E107" s="1205"/>
      <c r="F107" s="262" t="str">
        <f>$F$2</f>
        <v>SIŽP</v>
      </c>
      <c r="G107" s="262" t="s">
        <v>154</v>
      </c>
      <c r="H107" s="262" t="s">
        <v>155</v>
      </c>
      <c r="I107" s="262" t="s">
        <v>157</v>
      </c>
    </row>
    <row r="108" spans="1:9" ht="15" thickBot="1" x14ac:dyDescent="0.35">
      <c r="A108" s="1201"/>
      <c r="B108" s="1202"/>
      <c r="C108" s="1203"/>
      <c r="D108" s="446" t="s">
        <v>302</v>
      </c>
      <c r="E108" s="447" t="s">
        <v>156</v>
      </c>
      <c r="F108" s="143" t="s">
        <v>156</v>
      </c>
      <c r="G108" s="143" t="s">
        <v>156</v>
      </c>
      <c r="H108" s="143" t="s">
        <v>156</v>
      </c>
      <c r="I108" s="143" t="s">
        <v>156</v>
      </c>
    </row>
    <row r="109" spans="1:9" x14ac:dyDescent="0.3">
      <c r="A109" s="1192" t="s">
        <v>43</v>
      </c>
      <c r="B109" s="1195" t="s">
        <v>174</v>
      </c>
      <c r="C109" s="144" t="s">
        <v>25</v>
      </c>
      <c r="D109" s="448" t="str">
        <f>IF(E109='Parametre - Agendové IS'!Q107,"OK","Chyba počtu FTE")</f>
        <v>Chyba počtu FTE</v>
      </c>
      <c r="E109" s="449">
        <f t="shared" ref="E109:E138" si="6">F109+G109+H109+I109</f>
        <v>0</v>
      </c>
      <c r="F109" s="206"/>
      <c r="G109" s="206"/>
      <c r="H109" s="206"/>
      <c r="I109" s="206"/>
    </row>
    <row r="110" spans="1:9" x14ac:dyDescent="0.3">
      <c r="A110" s="1193"/>
      <c r="B110" s="1196"/>
      <c r="C110" s="141" t="s">
        <v>26</v>
      </c>
      <c r="D110" s="450" t="str">
        <f>IF(E110='Parametre - Agendové IS'!Q108,"OK","Chyba počtu FTE")</f>
        <v>Chyba počtu FTE</v>
      </c>
      <c r="E110" s="451">
        <f t="shared" si="6"/>
        <v>0</v>
      </c>
      <c r="F110" s="207"/>
      <c r="G110" s="207"/>
      <c r="H110" s="207"/>
      <c r="I110" s="207"/>
    </row>
    <row r="111" spans="1:9" x14ac:dyDescent="0.3">
      <c r="A111" s="1193"/>
      <c r="B111" s="1196"/>
      <c r="C111" s="141" t="s">
        <v>27</v>
      </c>
      <c r="D111" s="450" t="str">
        <f>IF(E111='Parametre - Agendové IS'!Q109,"OK","Chyba počtu FTE")</f>
        <v>Chyba počtu FTE</v>
      </c>
      <c r="E111" s="451">
        <f t="shared" si="6"/>
        <v>0</v>
      </c>
      <c r="F111" s="207"/>
      <c r="G111" s="207"/>
      <c r="H111" s="207"/>
      <c r="I111" s="207"/>
    </row>
    <row r="112" spans="1:9" x14ac:dyDescent="0.3">
      <c r="A112" s="1193"/>
      <c r="B112" s="1196"/>
      <c r="C112" s="141" t="s">
        <v>28</v>
      </c>
      <c r="D112" s="450" t="str">
        <f>IF(E112='Parametre - Agendové IS'!Q110,"OK","Chyba počtu FTE")</f>
        <v>Chyba počtu FTE</v>
      </c>
      <c r="E112" s="451">
        <f t="shared" si="6"/>
        <v>0</v>
      </c>
      <c r="F112" s="207"/>
      <c r="G112" s="207"/>
      <c r="H112" s="207"/>
      <c r="I112" s="207"/>
    </row>
    <row r="113" spans="1:9" x14ac:dyDescent="0.3">
      <c r="A113" s="1193"/>
      <c r="B113" s="1196"/>
      <c r="C113" s="141" t="s">
        <v>29</v>
      </c>
      <c r="D113" s="450" t="str">
        <f>IF(E113='Parametre - Agendové IS'!Q111,"OK","Chyba počtu FTE")</f>
        <v>Chyba počtu FTE</v>
      </c>
      <c r="E113" s="451">
        <f t="shared" si="6"/>
        <v>0</v>
      </c>
      <c r="F113" s="207"/>
      <c r="G113" s="207"/>
      <c r="H113" s="207"/>
      <c r="I113" s="207"/>
    </row>
    <row r="114" spans="1:9" x14ac:dyDescent="0.3">
      <c r="A114" s="1193"/>
      <c r="B114" s="1196"/>
      <c r="C114" s="141" t="s">
        <v>30</v>
      </c>
      <c r="D114" s="450" t="str">
        <f>IF(E114='Parametre - Agendové IS'!Q112,"OK","Chyba počtu FTE")</f>
        <v>Chyba počtu FTE</v>
      </c>
      <c r="E114" s="451">
        <f t="shared" si="6"/>
        <v>0</v>
      </c>
      <c r="F114" s="207"/>
      <c r="G114" s="207"/>
      <c r="H114" s="207"/>
      <c r="I114" s="207"/>
    </row>
    <row r="115" spans="1:9" x14ac:dyDescent="0.3">
      <c r="A115" s="1193"/>
      <c r="B115" s="1196"/>
      <c r="C115" s="141" t="s">
        <v>31</v>
      </c>
      <c r="D115" s="450" t="str">
        <f>IF(E115='Parametre - Agendové IS'!Q113,"OK","Chyba počtu FTE")</f>
        <v>Chyba počtu FTE</v>
      </c>
      <c r="E115" s="451">
        <f t="shared" si="6"/>
        <v>0</v>
      </c>
      <c r="F115" s="207"/>
      <c r="G115" s="207"/>
      <c r="H115" s="207"/>
      <c r="I115" s="207"/>
    </row>
    <row r="116" spans="1:9" x14ac:dyDescent="0.3">
      <c r="A116" s="1193"/>
      <c r="B116" s="1196"/>
      <c r="C116" s="141" t="s">
        <v>32</v>
      </c>
      <c r="D116" s="450" t="str">
        <f>IF(E116='Parametre - Agendové IS'!Q114,"OK","Chyba počtu FTE")</f>
        <v>Chyba počtu FTE</v>
      </c>
      <c r="E116" s="451">
        <f t="shared" si="6"/>
        <v>0</v>
      </c>
      <c r="F116" s="207"/>
      <c r="G116" s="207"/>
      <c r="H116" s="207"/>
      <c r="I116" s="207"/>
    </row>
    <row r="117" spans="1:9" x14ac:dyDescent="0.3">
      <c r="A117" s="1193"/>
      <c r="B117" s="1196"/>
      <c r="C117" s="141" t="s">
        <v>33</v>
      </c>
      <c r="D117" s="450" t="str">
        <f>IF(E117='Parametre - Agendové IS'!Q115,"OK","Chyba počtu FTE")</f>
        <v>Chyba počtu FTE</v>
      </c>
      <c r="E117" s="451">
        <f t="shared" si="6"/>
        <v>0</v>
      </c>
      <c r="F117" s="207"/>
      <c r="G117" s="207"/>
      <c r="H117" s="207"/>
      <c r="I117" s="207"/>
    </row>
    <row r="118" spans="1:9" ht="15" thickBot="1" x14ac:dyDescent="0.35">
      <c r="A118" s="1193"/>
      <c r="B118" s="1196"/>
      <c r="C118" s="141" t="s">
        <v>34</v>
      </c>
      <c r="D118" s="452" t="str">
        <f>IF(E118='Parametre - Agendové IS'!Q116,"OK","Chyba počtu FTE")</f>
        <v>Chyba počtu FTE</v>
      </c>
      <c r="E118" s="453">
        <f t="shared" si="6"/>
        <v>0</v>
      </c>
      <c r="F118" s="208"/>
      <c r="G118" s="208"/>
      <c r="H118" s="208"/>
      <c r="I118" s="208"/>
    </row>
    <row r="119" spans="1:9" x14ac:dyDescent="0.3">
      <c r="A119" s="1192" t="s">
        <v>41</v>
      </c>
      <c r="B119" s="1195" t="s">
        <v>37</v>
      </c>
      <c r="C119" s="144" t="s">
        <v>25</v>
      </c>
      <c r="D119" s="449" t="str">
        <f>IF(E119='Parametre - Agendové IS'!Q6,"OK","Chyba počtu podaní")</f>
        <v>Chyba počtu podaní</v>
      </c>
      <c r="E119" s="454">
        <f t="shared" si="6"/>
        <v>0</v>
      </c>
      <c r="F119" s="206"/>
      <c r="G119" s="206"/>
      <c r="H119" s="206"/>
      <c r="I119" s="206"/>
    </row>
    <row r="120" spans="1:9" x14ac:dyDescent="0.3">
      <c r="A120" s="1193"/>
      <c r="B120" s="1196"/>
      <c r="C120" s="141" t="s">
        <v>26</v>
      </c>
      <c r="D120" s="450" t="str">
        <f>IF(E120='Parametre - Agendové IS'!Q7,"OK","Chyba počtu podaní")</f>
        <v>Chyba počtu podaní</v>
      </c>
      <c r="E120" s="451">
        <f t="shared" si="6"/>
        <v>0</v>
      </c>
      <c r="F120" s="207"/>
      <c r="G120" s="207"/>
      <c r="H120" s="207"/>
      <c r="I120" s="207"/>
    </row>
    <row r="121" spans="1:9" x14ac:dyDescent="0.3">
      <c r="A121" s="1193"/>
      <c r="B121" s="1196"/>
      <c r="C121" s="141" t="s">
        <v>27</v>
      </c>
      <c r="D121" s="450" t="str">
        <f>IF(E121='Parametre - Agendové IS'!Q8,"OK","Chyba počtu podaní")</f>
        <v>Chyba počtu podaní</v>
      </c>
      <c r="E121" s="451">
        <f t="shared" si="6"/>
        <v>0</v>
      </c>
      <c r="F121" s="207"/>
      <c r="G121" s="207"/>
      <c r="H121" s="207"/>
      <c r="I121" s="207"/>
    </row>
    <row r="122" spans="1:9" x14ac:dyDescent="0.3">
      <c r="A122" s="1193"/>
      <c r="B122" s="1196"/>
      <c r="C122" s="141" t="s">
        <v>28</v>
      </c>
      <c r="D122" s="450" t="str">
        <f>IF(E122='Parametre - Agendové IS'!Q9,"OK","Chyba počtu podaní")</f>
        <v>Chyba počtu podaní</v>
      </c>
      <c r="E122" s="451">
        <f t="shared" si="6"/>
        <v>0</v>
      </c>
      <c r="F122" s="207"/>
      <c r="G122" s="207"/>
      <c r="H122" s="207"/>
      <c r="I122" s="207"/>
    </row>
    <row r="123" spans="1:9" x14ac:dyDescent="0.3">
      <c r="A123" s="1193"/>
      <c r="B123" s="1196"/>
      <c r="C123" s="141" t="s">
        <v>29</v>
      </c>
      <c r="D123" s="450" t="str">
        <f>IF(E123='Parametre - Agendové IS'!Q10,"OK","Chyba počtu podaní")</f>
        <v>Chyba počtu podaní</v>
      </c>
      <c r="E123" s="451">
        <f t="shared" si="6"/>
        <v>0</v>
      </c>
      <c r="F123" s="207"/>
      <c r="G123" s="207"/>
      <c r="H123" s="207"/>
      <c r="I123" s="207"/>
    </row>
    <row r="124" spans="1:9" x14ac:dyDescent="0.3">
      <c r="A124" s="1193"/>
      <c r="B124" s="1196"/>
      <c r="C124" s="141" t="s">
        <v>30</v>
      </c>
      <c r="D124" s="450" t="str">
        <f>IF(E124='Parametre - Agendové IS'!Q11,"OK","Chyba počtu podaní")</f>
        <v>Chyba počtu podaní</v>
      </c>
      <c r="E124" s="451">
        <f t="shared" si="6"/>
        <v>0</v>
      </c>
      <c r="F124" s="207"/>
      <c r="G124" s="207"/>
      <c r="H124" s="207"/>
      <c r="I124" s="207"/>
    </row>
    <row r="125" spans="1:9" x14ac:dyDescent="0.3">
      <c r="A125" s="1193"/>
      <c r="B125" s="1196"/>
      <c r="C125" s="141" t="s">
        <v>31</v>
      </c>
      <c r="D125" s="450" t="str">
        <f>IF(E125='Parametre - Agendové IS'!Q12,"OK","Chyba počtu podaní")</f>
        <v>Chyba počtu podaní</v>
      </c>
      <c r="E125" s="451">
        <f t="shared" si="6"/>
        <v>0</v>
      </c>
      <c r="F125" s="207"/>
      <c r="G125" s="207"/>
      <c r="H125" s="207"/>
      <c r="I125" s="207"/>
    </row>
    <row r="126" spans="1:9" x14ac:dyDescent="0.3">
      <c r="A126" s="1193"/>
      <c r="B126" s="1196"/>
      <c r="C126" s="141" t="s">
        <v>32</v>
      </c>
      <c r="D126" s="450" t="str">
        <f>IF(E126='Parametre - Agendové IS'!Q13,"OK","Chyba počtu podaní")</f>
        <v>Chyba počtu podaní</v>
      </c>
      <c r="E126" s="451">
        <f t="shared" si="6"/>
        <v>0</v>
      </c>
      <c r="F126" s="207"/>
      <c r="G126" s="207"/>
      <c r="H126" s="207"/>
      <c r="I126" s="207"/>
    </row>
    <row r="127" spans="1:9" x14ac:dyDescent="0.3">
      <c r="A127" s="1193"/>
      <c r="B127" s="1196"/>
      <c r="C127" s="141" t="s">
        <v>33</v>
      </c>
      <c r="D127" s="450" t="str">
        <f>IF(E127='Parametre - Agendové IS'!Q14,"OK","Chyba počtu podaní")</f>
        <v>Chyba počtu podaní</v>
      </c>
      <c r="E127" s="451">
        <f t="shared" si="6"/>
        <v>0</v>
      </c>
      <c r="F127" s="207"/>
      <c r="G127" s="207"/>
      <c r="H127" s="207"/>
      <c r="I127" s="207"/>
    </row>
    <row r="128" spans="1:9" ht="15" thickBot="1" x14ac:dyDescent="0.35">
      <c r="A128" s="1194"/>
      <c r="B128" s="1197"/>
      <c r="C128" s="142" t="s">
        <v>34</v>
      </c>
      <c r="D128" s="450" t="str">
        <f>IF(E128='Parametre - Agendové IS'!Q15,"OK","Chyba počtu podaní")</f>
        <v>Chyba počtu podaní</v>
      </c>
      <c r="E128" s="451">
        <f t="shared" si="6"/>
        <v>0</v>
      </c>
      <c r="F128" s="207"/>
      <c r="G128" s="207"/>
      <c r="H128" s="207"/>
      <c r="I128" s="207"/>
    </row>
    <row r="129" spans="1:9" x14ac:dyDescent="0.3">
      <c r="A129" s="1192" t="s">
        <v>39</v>
      </c>
      <c r="B129" s="1195" t="s">
        <v>13</v>
      </c>
      <c r="C129" s="144" t="s">
        <v>25</v>
      </c>
      <c r="D129" s="449" t="str">
        <f>IF(E129='Parametre - Agendové IS'!Q157,"OK","Chyba")</f>
        <v>OK</v>
      </c>
      <c r="E129" s="454">
        <f t="shared" si="6"/>
        <v>2737.4786111927624</v>
      </c>
      <c r="F129" s="545">
        <f>'Parametre - Agendové IS'!$Q76</f>
        <v>2737.4786111927624</v>
      </c>
      <c r="G129" s="206"/>
      <c r="H129" s="206"/>
      <c r="I129" s="206"/>
    </row>
    <row r="130" spans="1:9" x14ac:dyDescent="0.3">
      <c r="A130" s="1193"/>
      <c r="B130" s="1196"/>
      <c r="C130" s="141" t="s">
        <v>26</v>
      </c>
      <c r="D130" s="450" t="str">
        <f>IF(E130='Parametre - Agendové IS'!Q158,"OK","Chyba")</f>
        <v>OK</v>
      </c>
      <c r="E130" s="451">
        <f t="shared" si="6"/>
        <v>2737.4786111927624</v>
      </c>
      <c r="F130" s="546">
        <f>'Parametre - Agendové IS'!$Q77</f>
        <v>2737.4786111927624</v>
      </c>
      <c r="G130" s="207"/>
      <c r="H130" s="207"/>
      <c r="I130" s="207"/>
    </row>
    <row r="131" spans="1:9" x14ac:dyDescent="0.3">
      <c r="A131" s="1193"/>
      <c r="B131" s="1196"/>
      <c r="C131" s="141" t="s">
        <v>27</v>
      </c>
      <c r="D131" s="450" t="str">
        <f>IF(E131='Parametre - Agendové IS'!Q159,"OK","Chyba")</f>
        <v>OK</v>
      </c>
      <c r="E131" s="451">
        <f t="shared" si="6"/>
        <v>5073.9556750836819</v>
      </c>
      <c r="F131" s="546">
        <f>'Parametre - Agendové IS'!$Q78</f>
        <v>5073.9556750836819</v>
      </c>
      <c r="G131" s="207"/>
      <c r="H131" s="207"/>
      <c r="I131" s="207"/>
    </row>
    <row r="132" spans="1:9" x14ac:dyDescent="0.3">
      <c r="A132" s="1193"/>
      <c r="B132" s="1196"/>
      <c r="C132" s="141" t="s">
        <v>28</v>
      </c>
      <c r="D132" s="450" t="str">
        <f>IF(E132='Parametre - Agendové IS'!Q160,"OK","Chyba")</f>
        <v>OK</v>
      </c>
      <c r="E132" s="451">
        <f t="shared" si="6"/>
        <v>5073.9556750836819</v>
      </c>
      <c r="F132" s="546">
        <f>'Parametre - Agendové IS'!$Q79</f>
        <v>5073.9556750836819</v>
      </c>
      <c r="G132" s="207"/>
      <c r="H132" s="207"/>
      <c r="I132" s="207"/>
    </row>
    <row r="133" spans="1:9" x14ac:dyDescent="0.3">
      <c r="A133" s="1193"/>
      <c r="B133" s="1196"/>
      <c r="C133" s="141" t="s">
        <v>29</v>
      </c>
      <c r="D133" s="450" t="str">
        <f>IF(E133='Parametre - Agendové IS'!Q161,"OK","Chyba")</f>
        <v>OK</v>
      </c>
      <c r="E133" s="451">
        <f t="shared" si="6"/>
        <v>5073.9556750836819</v>
      </c>
      <c r="F133" s="546">
        <f>'Parametre - Agendové IS'!$Q80</f>
        <v>5073.9556750836819</v>
      </c>
      <c r="G133" s="207"/>
      <c r="H133" s="207"/>
      <c r="I133" s="207"/>
    </row>
    <row r="134" spans="1:9" x14ac:dyDescent="0.3">
      <c r="A134" s="1193"/>
      <c r="B134" s="1196"/>
      <c r="C134" s="141" t="s">
        <v>30</v>
      </c>
      <c r="D134" s="450" t="str">
        <f>IF(E134='Parametre - Agendové IS'!Q162,"OK","Chyba")</f>
        <v>OK</v>
      </c>
      <c r="E134" s="451">
        <f t="shared" si="6"/>
        <v>5073.9556750836819</v>
      </c>
      <c r="F134" s="546">
        <f>'Parametre - Agendové IS'!$Q81</f>
        <v>5073.9556750836819</v>
      </c>
      <c r="G134" s="207"/>
      <c r="H134" s="207"/>
      <c r="I134" s="207"/>
    </row>
    <row r="135" spans="1:9" x14ac:dyDescent="0.3">
      <c r="A135" s="1193"/>
      <c r="B135" s="1196"/>
      <c r="C135" s="141" t="s">
        <v>31</v>
      </c>
      <c r="D135" s="450" t="str">
        <f>IF(E135='Parametre - Agendové IS'!Q163,"OK","Chyba")</f>
        <v>OK</v>
      </c>
      <c r="E135" s="451">
        <f t="shared" si="6"/>
        <v>5073.9556750836819</v>
      </c>
      <c r="F135" s="546">
        <f>'Parametre - Agendové IS'!$Q82</f>
        <v>5073.9556750836819</v>
      </c>
      <c r="G135" s="207"/>
      <c r="H135" s="207"/>
      <c r="I135" s="207"/>
    </row>
    <row r="136" spans="1:9" x14ac:dyDescent="0.3">
      <c r="A136" s="1193"/>
      <c r="B136" s="1196"/>
      <c r="C136" s="141" t="s">
        <v>32</v>
      </c>
      <c r="D136" s="450" t="str">
        <f>IF(E136='Parametre - Agendové IS'!Q164,"OK","Chyba")</f>
        <v>OK</v>
      </c>
      <c r="E136" s="451">
        <f t="shared" si="6"/>
        <v>5073.9556750836819</v>
      </c>
      <c r="F136" s="546">
        <f>'Parametre - Agendové IS'!$Q83</f>
        <v>5073.9556750836819</v>
      </c>
      <c r="G136" s="207"/>
      <c r="H136" s="207"/>
      <c r="I136" s="207"/>
    </row>
    <row r="137" spans="1:9" x14ac:dyDescent="0.3">
      <c r="A137" s="1193"/>
      <c r="B137" s="1196"/>
      <c r="C137" s="141" t="s">
        <v>33</v>
      </c>
      <c r="D137" s="450" t="str">
        <f>IF(E137='Parametre - Agendové IS'!Q165,"OK","Chyba")</f>
        <v>OK</v>
      </c>
      <c r="E137" s="451">
        <f t="shared" si="6"/>
        <v>5073.9556750836819</v>
      </c>
      <c r="F137" s="546">
        <f>'Parametre - Agendové IS'!$Q84</f>
        <v>5073.9556750836819</v>
      </c>
      <c r="G137" s="207"/>
      <c r="H137" s="207"/>
      <c r="I137" s="207"/>
    </row>
    <row r="138" spans="1:9" ht="15" thickBot="1" x14ac:dyDescent="0.35">
      <c r="A138" s="1194"/>
      <c r="B138" s="1197"/>
      <c r="C138" s="142" t="s">
        <v>34</v>
      </c>
      <c r="D138" s="450" t="str">
        <f>IF(E138='Parametre - Agendové IS'!Q166,"OK","Chyba")</f>
        <v>OK</v>
      </c>
      <c r="E138" s="451">
        <f t="shared" si="6"/>
        <v>5073.9556750836819</v>
      </c>
      <c r="F138" s="546">
        <f>'Parametre - Agendové IS'!$Q85</f>
        <v>5073.9556750836819</v>
      </c>
      <c r="G138" s="207"/>
      <c r="H138" s="207"/>
      <c r="I138" s="207"/>
    </row>
  </sheetData>
  <mergeCells count="32">
    <mergeCell ref="A119:A128"/>
    <mergeCell ref="B119:B128"/>
    <mergeCell ref="A109:A118"/>
    <mergeCell ref="B109:B118"/>
    <mergeCell ref="A84:A93"/>
    <mergeCell ref="B84:B93"/>
    <mergeCell ref="A107:C108"/>
    <mergeCell ref="D107:E107"/>
    <mergeCell ref="D72:E72"/>
    <mergeCell ref="D37:E37"/>
    <mergeCell ref="D2:E2"/>
    <mergeCell ref="A2:C3"/>
    <mergeCell ref="B4:B13"/>
    <mergeCell ref="A14:A23"/>
    <mergeCell ref="B14:B23"/>
    <mergeCell ref="A4:A13"/>
    <mergeCell ref="A129:A138"/>
    <mergeCell ref="B129:B138"/>
    <mergeCell ref="A24:A33"/>
    <mergeCell ref="B24:B33"/>
    <mergeCell ref="A59:A68"/>
    <mergeCell ref="B59:B68"/>
    <mergeCell ref="A94:A103"/>
    <mergeCell ref="B94:B103"/>
    <mergeCell ref="A37:C38"/>
    <mergeCell ref="A39:A48"/>
    <mergeCell ref="B39:B48"/>
    <mergeCell ref="A49:A58"/>
    <mergeCell ref="B49:B58"/>
    <mergeCell ref="A72:C73"/>
    <mergeCell ref="A74:A83"/>
    <mergeCell ref="B74:B83"/>
  </mergeCells>
  <pageMargins left="0.7" right="0.7" top="0.75" bottom="0.75" header="0.3" footer="0.3"/>
  <pageSetup paperSize="9" scale="35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2:C8"/>
  <sheetViews>
    <sheetView workbookViewId="0">
      <selection activeCell="C8" sqref="C8"/>
    </sheetView>
  </sheetViews>
  <sheetFormatPr defaultRowHeight="14.4" x14ac:dyDescent="0.3"/>
  <cols>
    <col min="2" max="2" width="66.6640625" customWidth="1"/>
  </cols>
  <sheetData>
    <row r="2" spans="2:3" x14ac:dyDescent="0.3">
      <c r="B2" t="s">
        <v>553</v>
      </c>
      <c r="C2">
        <v>158</v>
      </c>
    </row>
    <row r="3" spans="2:3" x14ac:dyDescent="0.3">
      <c r="B3" t="s">
        <v>555</v>
      </c>
      <c r="C3" s="747">
        <v>0.6</v>
      </c>
    </row>
    <row r="4" spans="2:3" x14ac:dyDescent="0.3">
      <c r="B4" t="s">
        <v>557</v>
      </c>
      <c r="C4">
        <f>ROUND(C2*C3,0)</f>
        <v>95</v>
      </c>
    </row>
    <row r="5" spans="2:3" x14ac:dyDescent="0.3">
      <c r="B5" t="s">
        <v>554</v>
      </c>
      <c r="C5">
        <v>40</v>
      </c>
    </row>
    <row r="6" spans="2:3" x14ac:dyDescent="0.3">
      <c r="B6" t="s">
        <v>556</v>
      </c>
      <c r="C6" s="747">
        <v>0.4</v>
      </c>
    </row>
    <row r="7" spans="2:3" x14ac:dyDescent="0.3">
      <c r="B7" t="s">
        <v>558</v>
      </c>
      <c r="C7">
        <f>ROUND(C5*C6,0)</f>
        <v>16</v>
      </c>
    </row>
    <row r="8" spans="2:3" x14ac:dyDescent="0.3">
      <c r="B8" t="s">
        <v>559</v>
      </c>
      <c r="C8">
        <f>C4+C7</f>
        <v>111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CC"/>
  </sheetPr>
  <dimension ref="A1:AQ124"/>
  <sheetViews>
    <sheetView showGridLines="0" zoomScale="80" zoomScaleNormal="80" zoomScaleSheetLayoutView="90" workbookViewId="0">
      <pane ySplit="5" topLeftCell="A96" activePane="bottomLeft" state="frozen"/>
      <selection pane="bottomLeft" activeCell="B124" sqref="B124"/>
    </sheetView>
  </sheetViews>
  <sheetFormatPr defaultColWidth="8.6640625" defaultRowHeight="12" x14ac:dyDescent="0.25"/>
  <cols>
    <col min="1" max="1" width="36.33203125" style="116" customWidth="1"/>
    <col min="2" max="2" width="61.6640625" style="116" customWidth="1"/>
    <col min="3" max="3" width="3.33203125" style="116" customWidth="1"/>
    <col min="4" max="24" width="3.6640625" style="116" customWidth="1"/>
    <col min="25" max="25" width="4.44140625" style="116" customWidth="1"/>
    <col min="26" max="28" width="16.44140625" style="116" customWidth="1"/>
    <col min="29" max="29" width="18.109375" style="116" customWidth="1"/>
    <col min="30" max="30" width="9" style="116" customWidth="1"/>
    <col min="31" max="31" width="9.109375" style="116" customWidth="1"/>
    <col min="32" max="32" width="9" style="116" customWidth="1"/>
    <col min="33" max="33" width="10.6640625" style="117" customWidth="1"/>
    <col min="34" max="36" width="10.6640625" style="116" customWidth="1"/>
    <col min="37" max="37" width="52.109375" style="116" customWidth="1"/>
    <col min="38" max="38" width="51.6640625" style="116" customWidth="1"/>
    <col min="39" max="42" width="8.6640625" style="116"/>
    <col min="43" max="43" width="18.88671875" style="116" customWidth="1"/>
    <col min="44" max="16384" width="8.6640625" style="116"/>
  </cols>
  <sheetData>
    <row r="1" spans="1:43" ht="26.1" customHeight="1" thickBot="1" x14ac:dyDescent="0.35">
      <c r="A1" s="1206" t="s">
        <v>195</v>
      </c>
      <c r="B1" s="1207"/>
      <c r="C1" s="1206" t="s">
        <v>193</v>
      </c>
      <c r="D1" s="1208"/>
      <c r="E1" s="1208"/>
      <c r="F1" s="1208"/>
      <c r="G1" s="1208"/>
      <c r="H1" s="1208"/>
      <c r="I1" s="1208"/>
      <c r="J1" s="1208"/>
      <c r="K1" s="1208"/>
      <c r="L1" s="1208"/>
      <c r="M1" s="1208"/>
      <c r="N1" s="1208"/>
      <c r="O1" s="1208"/>
      <c r="P1" s="1208"/>
      <c r="Q1" s="1208"/>
      <c r="R1" s="1208"/>
      <c r="S1" s="1208"/>
      <c r="T1" s="1208"/>
      <c r="U1" s="1208"/>
      <c r="V1" s="1208"/>
      <c r="W1" s="1208"/>
      <c r="X1" s="1208"/>
      <c r="Y1" s="1208"/>
      <c r="Z1" s="1208"/>
      <c r="AA1" s="1208"/>
      <c r="AB1" s="1208"/>
      <c r="AC1" s="1208"/>
      <c r="AD1" s="1208"/>
      <c r="AE1" s="1208"/>
      <c r="AF1" s="1208"/>
      <c r="AG1" s="1208"/>
      <c r="AH1" s="1208"/>
      <c r="AI1" s="1208"/>
      <c r="AJ1" s="1208"/>
      <c r="AK1" s="1208"/>
      <c r="AL1" s="1208"/>
      <c r="AM1" s="1208"/>
      <c r="AN1" s="1208"/>
      <c r="AO1" s="1208"/>
      <c r="AP1" s="1208"/>
      <c r="AQ1" s="1208"/>
    </row>
    <row r="2" spans="1:43" ht="12.6" thickBot="1" x14ac:dyDescent="0.3">
      <c r="A2" s="213"/>
      <c r="B2" s="212"/>
      <c r="C2" s="214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5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5"/>
      <c r="Z2" s="1214" t="s">
        <v>228</v>
      </c>
      <c r="AA2" s="1215"/>
      <c r="AB2" s="1215"/>
      <c r="AC2" s="1215"/>
      <c r="AD2" s="1215"/>
      <c r="AE2" s="1215"/>
      <c r="AF2" s="1215"/>
      <c r="AG2" s="1215"/>
      <c r="AH2" s="1215"/>
      <c r="AI2" s="1215"/>
      <c r="AJ2" s="1215"/>
      <c r="AK2" s="1216"/>
      <c r="AL2" s="1209" t="s">
        <v>227</v>
      </c>
      <c r="AM2" s="1210"/>
      <c r="AN2" s="1210"/>
      <c r="AO2" s="1210"/>
      <c r="AP2" s="1210"/>
      <c r="AQ2" s="1211"/>
    </row>
    <row r="3" spans="1:43" ht="10.95" customHeight="1" thickBot="1" x14ac:dyDescent="0.3">
      <c r="A3" s="242"/>
      <c r="B3" s="240"/>
      <c r="C3" s="241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39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39"/>
      <c r="Z3" s="1209" t="s">
        <v>285</v>
      </c>
      <c r="AA3" s="1210"/>
      <c r="AB3" s="1210"/>
      <c r="AC3" s="1210"/>
      <c r="AD3" s="1209" t="s">
        <v>286</v>
      </c>
      <c r="AE3" s="1210"/>
      <c r="AF3" s="1210"/>
      <c r="AG3" s="1210"/>
      <c r="AH3" s="1210"/>
      <c r="AI3" s="1210"/>
      <c r="AJ3" s="1210"/>
      <c r="AK3" s="1211"/>
      <c r="AL3" s="218"/>
      <c r="AM3" s="219"/>
      <c r="AN3" s="219"/>
      <c r="AO3" s="219"/>
      <c r="AP3" s="219"/>
      <c r="AQ3" s="210"/>
    </row>
    <row r="4" spans="1:43" ht="48" customHeight="1" x14ac:dyDescent="0.25">
      <c r="A4" s="242" t="s">
        <v>196</v>
      </c>
      <c r="B4" s="497" t="s">
        <v>297</v>
      </c>
      <c r="C4" s="241" t="s">
        <v>119</v>
      </c>
      <c r="D4" s="240" t="s">
        <v>120</v>
      </c>
      <c r="E4" s="240" t="s">
        <v>121</v>
      </c>
      <c r="F4" s="240" t="s">
        <v>122</v>
      </c>
      <c r="G4" s="240" t="s">
        <v>123</v>
      </c>
      <c r="H4" s="240" t="s">
        <v>124</v>
      </c>
      <c r="I4" s="240" t="s">
        <v>125</v>
      </c>
      <c r="J4" s="240" t="s">
        <v>126</v>
      </c>
      <c r="K4" s="240" t="s">
        <v>127</v>
      </c>
      <c r="L4" s="240" t="s">
        <v>128</v>
      </c>
      <c r="M4" s="240" t="s">
        <v>129</v>
      </c>
      <c r="N4" s="239" t="s">
        <v>130</v>
      </c>
      <c r="O4" s="240" t="s">
        <v>131</v>
      </c>
      <c r="P4" s="240" t="s">
        <v>132</v>
      </c>
      <c r="Q4" s="240" t="s">
        <v>133</v>
      </c>
      <c r="R4" s="240" t="s">
        <v>134</v>
      </c>
      <c r="S4" s="240" t="s">
        <v>135</v>
      </c>
      <c r="T4" s="240" t="s">
        <v>136</v>
      </c>
      <c r="U4" s="240" t="s">
        <v>137</v>
      </c>
      <c r="V4" s="240" t="s">
        <v>138</v>
      </c>
      <c r="W4" s="240" t="s">
        <v>139</v>
      </c>
      <c r="X4" s="240" t="s">
        <v>140</v>
      </c>
      <c r="Y4" s="239" t="s">
        <v>141</v>
      </c>
      <c r="Z4" s="214" t="s">
        <v>287</v>
      </c>
      <c r="AA4" s="212" t="s">
        <v>288</v>
      </c>
      <c r="AB4" s="212" t="s">
        <v>289</v>
      </c>
      <c r="AC4" s="212" t="s">
        <v>290</v>
      </c>
      <c r="AD4" s="216" t="s">
        <v>188</v>
      </c>
      <c r="AE4" s="217" t="s">
        <v>189</v>
      </c>
      <c r="AF4" s="217" t="s">
        <v>190</v>
      </c>
      <c r="AG4" s="210" t="s">
        <v>192</v>
      </c>
      <c r="AH4" s="210" t="s">
        <v>191</v>
      </c>
      <c r="AI4" s="210" t="s">
        <v>150</v>
      </c>
      <c r="AJ4" s="476" t="s">
        <v>194</v>
      </c>
      <c r="AK4" s="476" t="s">
        <v>197</v>
      </c>
      <c r="AL4" s="476" t="s">
        <v>226</v>
      </c>
      <c r="AM4" s="216" t="s">
        <v>188</v>
      </c>
      <c r="AN4" s="217" t="s">
        <v>189</v>
      </c>
      <c r="AO4" s="217" t="s">
        <v>190</v>
      </c>
      <c r="AP4" s="210" t="s">
        <v>192</v>
      </c>
      <c r="AQ4" s="1212" t="s">
        <v>225</v>
      </c>
    </row>
    <row r="5" spans="1:43" ht="8.25" customHeight="1" thickBot="1" x14ac:dyDescent="0.3">
      <c r="A5" s="118"/>
      <c r="B5" s="119"/>
      <c r="C5" s="120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21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21"/>
      <c r="Z5" s="120"/>
      <c r="AA5" s="119"/>
      <c r="AB5" s="119"/>
      <c r="AC5" s="119"/>
      <c r="AD5" s="218"/>
      <c r="AE5" s="219"/>
      <c r="AF5" s="219"/>
      <c r="AG5" s="221"/>
      <c r="AH5" s="221"/>
      <c r="AI5" s="221"/>
      <c r="AJ5" s="652"/>
      <c r="AK5" s="238"/>
      <c r="AL5" s="223"/>
      <c r="AM5" s="218"/>
      <c r="AN5" s="219"/>
      <c r="AO5" s="219"/>
      <c r="AP5" s="221"/>
      <c r="AQ5" s="1213"/>
    </row>
    <row r="6" spans="1:43" ht="24" x14ac:dyDescent="0.25">
      <c r="A6" s="659" t="str">
        <f>'Rozpočet - vývoj Aplikácií'!$C$4&amp;" (AIS KSED)"</f>
        <v>Modul Integrované povoľovanie (AIS KSED)</v>
      </c>
      <c r="B6" s="660" t="s">
        <v>387</v>
      </c>
      <c r="C6" s="661"/>
      <c r="D6" s="662"/>
      <c r="E6" s="662"/>
      <c r="F6" s="662"/>
      <c r="G6" s="662"/>
      <c r="H6" s="662"/>
      <c r="I6" s="662"/>
      <c r="J6" s="662"/>
      <c r="K6" s="662"/>
      <c r="L6" s="662"/>
      <c r="M6" s="662"/>
      <c r="N6" s="663"/>
      <c r="O6" s="662"/>
      <c r="P6" s="662"/>
      <c r="Q6" s="662"/>
      <c r="R6" s="662"/>
      <c r="S6" s="662"/>
      <c r="T6" s="662"/>
      <c r="U6" s="662"/>
      <c r="V6" s="662"/>
      <c r="W6" s="662"/>
      <c r="X6" s="662"/>
      <c r="Y6" s="663"/>
      <c r="Z6" s="664"/>
      <c r="AA6" s="665"/>
      <c r="AB6" s="665"/>
      <c r="AC6" s="666"/>
      <c r="AD6" s="667"/>
      <c r="AE6" s="668"/>
      <c r="AF6" s="668"/>
      <c r="AG6" s="440">
        <f t="shared" ref="AG6:AG118" si="0">AD6*AF6+AC6</f>
        <v>0</v>
      </c>
      <c r="AH6" s="440">
        <f t="shared" ref="AH6:AH118" si="1">AE6*AF6+AC6</f>
        <v>0</v>
      </c>
      <c r="AI6" s="440">
        <f t="shared" ref="AI6:AI118" si="2">AH6-AG6</f>
        <v>0</v>
      </c>
      <c r="AJ6" s="652"/>
      <c r="AK6" s="669"/>
      <c r="AL6" s="441"/>
      <c r="AM6" s="667"/>
      <c r="AN6" s="668"/>
      <c r="AO6" s="668"/>
      <c r="AP6" s="440">
        <f t="shared" ref="AP6:AP118" si="3">AM6*AO6</f>
        <v>0</v>
      </c>
      <c r="AQ6" s="669"/>
    </row>
    <row r="7" spans="1:43" x14ac:dyDescent="0.25">
      <c r="A7" s="670"/>
      <c r="B7" s="671" t="s">
        <v>426</v>
      </c>
      <c r="C7" s="661"/>
      <c r="D7" s="662"/>
      <c r="E7" s="662"/>
      <c r="F7" s="662"/>
      <c r="G7" s="662"/>
      <c r="H7" s="662"/>
      <c r="I7" s="662"/>
      <c r="J7" s="662"/>
      <c r="K7" s="662"/>
      <c r="L7" s="662"/>
      <c r="M7" s="662"/>
      <c r="N7" s="663"/>
      <c r="O7" s="662"/>
      <c r="P7" s="662"/>
      <c r="Q7" s="662"/>
      <c r="R7" s="662"/>
      <c r="S7" s="662"/>
      <c r="T7" s="662"/>
      <c r="U7" s="662"/>
      <c r="V7" s="662"/>
      <c r="W7" s="662"/>
      <c r="X7" s="662"/>
      <c r="Y7" s="663"/>
      <c r="Z7" s="672"/>
      <c r="AA7" s="673"/>
      <c r="AB7" s="673"/>
      <c r="AC7" s="674"/>
      <c r="AD7" s="675"/>
      <c r="AE7" s="676"/>
      <c r="AF7" s="676"/>
      <c r="AG7" s="440"/>
      <c r="AH7" s="440"/>
      <c r="AI7" s="440"/>
      <c r="AJ7" s="652"/>
      <c r="AK7" s="677"/>
      <c r="AL7" s="441"/>
      <c r="AM7" s="675"/>
      <c r="AN7" s="676"/>
      <c r="AO7" s="676"/>
      <c r="AP7" s="440"/>
      <c r="AQ7" s="677"/>
    </row>
    <row r="8" spans="1:43" x14ac:dyDescent="0.25">
      <c r="A8" s="670"/>
      <c r="B8" s="671" t="s">
        <v>388</v>
      </c>
      <c r="C8" s="661"/>
      <c r="D8" s="662"/>
      <c r="E8" s="662"/>
      <c r="F8" s="662"/>
      <c r="G8" s="662"/>
      <c r="H8" s="662"/>
      <c r="I8" s="662"/>
      <c r="J8" s="662"/>
      <c r="K8" s="662"/>
      <c r="L8" s="662"/>
      <c r="M8" s="662"/>
      <c r="N8" s="663"/>
      <c r="O8" s="662"/>
      <c r="P8" s="662"/>
      <c r="Q8" s="662"/>
      <c r="R8" s="662"/>
      <c r="S8" s="662"/>
      <c r="T8" s="662"/>
      <c r="U8" s="662"/>
      <c r="V8" s="662"/>
      <c r="W8" s="662"/>
      <c r="X8" s="662"/>
      <c r="Y8" s="663"/>
      <c r="Z8" s="672"/>
      <c r="AA8" s="673"/>
      <c r="AB8" s="673"/>
      <c r="AC8" s="674"/>
      <c r="AD8" s="675"/>
      <c r="AE8" s="676"/>
      <c r="AF8" s="676"/>
      <c r="AG8" s="440"/>
      <c r="AH8" s="440"/>
      <c r="AI8" s="440"/>
      <c r="AJ8" s="652"/>
      <c r="AK8" s="677"/>
      <c r="AL8" s="441"/>
      <c r="AM8" s="675"/>
      <c r="AN8" s="676"/>
      <c r="AO8" s="676"/>
      <c r="AP8" s="440"/>
      <c r="AQ8" s="677"/>
    </row>
    <row r="9" spans="1:43" x14ac:dyDescent="0.25">
      <c r="A9" s="670"/>
      <c r="B9" s="671" t="s">
        <v>429</v>
      </c>
      <c r="C9" s="661"/>
      <c r="D9" s="662"/>
      <c r="E9" s="662"/>
      <c r="F9" s="662"/>
      <c r="G9" s="662"/>
      <c r="H9" s="662"/>
      <c r="I9" s="662"/>
      <c r="J9" s="662"/>
      <c r="K9" s="662"/>
      <c r="L9" s="662"/>
      <c r="M9" s="662"/>
      <c r="N9" s="663"/>
      <c r="O9" s="662"/>
      <c r="P9" s="662"/>
      <c r="Q9" s="662"/>
      <c r="R9" s="662"/>
      <c r="S9" s="662"/>
      <c r="T9" s="662"/>
      <c r="U9" s="662"/>
      <c r="V9" s="662"/>
      <c r="W9" s="662"/>
      <c r="X9" s="662"/>
      <c r="Y9" s="663"/>
      <c r="Z9" s="672"/>
      <c r="AA9" s="673"/>
      <c r="AB9" s="673"/>
      <c r="AC9" s="674"/>
      <c r="AD9" s="675"/>
      <c r="AE9" s="676"/>
      <c r="AF9" s="676"/>
      <c r="AG9" s="440"/>
      <c r="AH9" s="440"/>
      <c r="AI9" s="440"/>
      <c r="AJ9" s="652"/>
      <c r="AK9" s="677"/>
      <c r="AL9" s="441"/>
      <c r="AM9" s="675"/>
      <c r="AN9" s="676"/>
      <c r="AO9" s="676"/>
      <c r="AP9" s="440"/>
      <c r="AQ9" s="677"/>
    </row>
    <row r="10" spans="1:43" ht="24" x14ac:dyDescent="0.25">
      <c r="A10" s="670"/>
      <c r="B10" s="671" t="s">
        <v>389</v>
      </c>
      <c r="C10" s="661"/>
      <c r="D10" s="662"/>
      <c r="E10" s="662"/>
      <c r="F10" s="662"/>
      <c r="G10" s="662"/>
      <c r="H10" s="662"/>
      <c r="I10" s="662"/>
      <c r="J10" s="662"/>
      <c r="K10" s="662"/>
      <c r="L10" s="662"/>
      <c r="M10" s="662"/>
      <c r="N10" s="663"/>
      <c r="O10" s="662"/>
      <c r="P10" s="662"/>
      <c r="Q10" s="662"/>
      <c r="R10" s="662"/>
      <c r="S10" s="662"/>
      <c r="T10" s="662"/>
      <c r="U10" s="662"/>
      <c r="V10" s="662"/>
      <c r="W10" s="662"/>
      <c r="X10" s="662"/>
      <c r="Y10" s="663"/>
      <c r="Z10" s="672"/>
      <c r="AA10" s="673"/>
      <c r="AB10" s="673"/>
      <c r="AC10" s="674"/>
      <c r="AD10" s="675"/>
      <c r="AE10" s="676"/>
      <c r="AF10" s="676"/>
      <c r="AG10" s="440"/>
      <c r="AH10" s="440"/>
      <c r="AI10" s="440"/>
      <c r="AJ10" s="652"/>
      <c r="AK10" s="677"/>
      <c r="AL10" s="441"/>
      <c r="AM10" s="675"/>
      <c r="AN10" s="676"/>
      <c r="AO10" s="676"/>
      <c r="AP10" s="440"/>
      <c r="AQ10" s="677"/>
    </row>
    <row r="11" spans="1:43" ht="48" x14ac:dyDescent="0.25">
      <c r="A11" s="670"/>
      <c r="B11" s="671" t="s">
        <v>427</v>
      </c>
      <c r="C11" s="661"/>
      <c r="D11" s="662"/>
      <c r="E11" s="662"/>
      <c r="F11" s="662"/>
      <c r="G11" s="662"/>
      <c r="H11" s="662"/>
      <c r="I11" s="662"/>
      <c r="J11" s="662"/>
      <c r="K11" s="662"/>
      <c r="L11" s="662"/>
      <c r="M11" s="662"/>
      <c r="N11" s="663"/>
      <c r="O11" s="662"/>
      <c r="P11" s="662"/>
      <c r="Q11" s="662"/>
      <c r="R11" s="662"/>
      <c r="S11" s="662"/>
      <c r="T11" s="662"/>
      <c r="U11" s="662"/>
      <c r="V11" s="662"/>
      <c r="W11" s="662"/>
      <c r="X11" s="662"/>
      <c r="Y11" s="663"/>
      <c r="Z11" s="672"/>
      <c r="AA11" s="673"/>
      <c r="AB11" s="673"/>
      <c r="AC11" s="674"/>
      <c r="AD11" s="675"/>
      <c r="AE11" s="676"/>
      <c r="AF11" s="676"/>
      <c r="AG11" s="440"/>
      <c r="AH11" s="440"/>
      <c r="AI11" s="440"/>
      <c r="AJ11" s="652"/>
      <c r="AK11" s="677"/>
      <c r="AL11" s="441"/>
      <c r="AM11" s="675"/>
      <c r="AN11" s="676"/>
      <c r="AO11" s="676"/>
      <c r="AP11" s="440"/>
      <c r="AQ11" s="677"/>
    </row>
    <row r="12" spans="1:43" x14ac:dyDescent="0.25">
      <c r="A12" s="670"/>
      <c r="B12" s="671" t="s">
        <v>428</v>
      </c>
      <c r="C12" s="661"/>
      <c r="D12" s="662"/>
      <c r="E12" s="662"/>
      <c r="F12" s="662"/>
      <c r="G12" s="662"/>
      <c r="H12" s="662"/>
      <c r="I12" s="662"/>
      <c r="J12" s="662"/>
      <c r="K12" s="662"/>
      <c r="L12" s="662"/>
      <c r="M12" s="662"/>
      <c r="N12" s="663"/>
      <c r="O12" s="662"/>
      <c r="P12" s="662"/>
      <c r="Q12" s="662"/>
      <c r="R12" s="662"/>
      <c r="S12" s="662"/>
      <c r="T12" s="662"/>
      <c r="U12" s="662"/>
      <c r="V12" s="662"/>
      <c r="W12" s="662"/>
      <c r="X12" s="662"/>
      <c r="Y12" s="663"/>
      <c r="Z12" s="672"/>
      <c r="AA12" s="673"/>
      <c r="AB12" s="673"/>
      <c r="AC12" s="674"/>
      <c r="AD12" s="675"/>
      <c r="AE12" s="676"/>
      <c r="AF12" s="676"/>
      <c r="AG12" s="440"/>
      <c r="AH12" s="440"/>
      <c r="AI12" s="440"/>
      <c r="AJ12" s="652"/>
      <c r="AK12" s="677"/>
      <c r="AL12" s="441"/>
      <c r="AM12" s="675"/>
      <c r="AN12" s="676"/>
      <c r="AO12" s="676"/>
      <c r="AP12" s="440"/>
      <c r="AQ12" s="677"/>
    </row>
    <row r="13" spans="1:43" x14ac:dyDescent="0.25">
      <c r="A13" s="670"/>
      <c r="B13" s="671" t="s">
        <v>383</v>
      </c>
      <c r="C13" s="661"/>
      <c r="D13" s="662"/>
      <c r="E13" s="662"/>
      <c r="F13" s="662"/>
      <c r="G13" s="662"/>
      <c r="H13" s="662"/>
      <c r="I13" s="662"/>
      <c r="J13" s="662"/>
      <c r="K13" s="662"/>
      <c r="L13" s="662"/>
      <c r="M13" s="662"/>
      <c r="N13" s="663"/>
      <c r="O13" s="662"/>
      <c r="P13" s="662"/>
      <c r="Q13" s="662"/>
      <c r="R13" s="662"/>
      <c r="S13" s="662"/>
      <c r="T13" s="662"/>
      <c r="U13" s="662"/>
      <c r="V13" s="662"/>
      <c r="W13" s="662"/>
      <c r="X13" s="662"/>
      <c r="Y13" s="663"/>
      <c r="Z13" s="672"/>
      <c r="AA13" s="673"/>
      <c r="AB13" s="673"/>
      <c r="AC13" s="674"/>
      <c r="AD13" s="675"/>
      <c r="AE13" s="676"/>
      <c r="AF13" s="676"/>
      <c r="AG13" s="440"/>
      <c r="AH13" s="440"/>
      <c r="AI13" s="440"/>
      <c r="AJ13" s="652"/>
      <c r="AK13" s="677"/>
      <c r="AL13" s="441"/>
      <c r="AM13" s="675"/>
      <c r="AN13" s="676"/>
      <c r="AO13" s="676"/>
      <c r="AP13" s="440"/>
      <c r="AQ13" s="677"/>
    </row>
    <row r="14" spans="1:43" x14ac:dyDescent="0.25">
      <c r="A14" s="670"/>
      <c r="B14" s="671" t="s">
        <v>390</v>
      </c>
      <c r="C14" s="661"/>
      <c r="D14" s="662"/>
      <c r="E14" s="662"/>
      <c r="F14" s="662"/>
      <c r="G14" s="662"/>
      <c r="H14" s="662"/>
      <c r="I14" s="662"/>
      <c r="J14" s="662"/>
      <c r="K14" s="662"/>
      <c r="L14" s="662"/>
      <c r="M14" s="662"/>
      <c r="N14" s="663"/>
      <c r="O14" s="662"/>
      <c r="P14" s="662"/>
      <c r="Q14" s="662"/>
      <c r="R14" s="662"/>
      <c r="S14" s="662"/>
      <c r="T14" s="662"/>
      <c r="U14" s="662"/>
      <c r="V14" s="662"/>
      <c r="W14" s="662"/>
      <c r="X14" s="662"/>
      <c r="Y14" s="663"/>
      <c r="Z14" s="672"/>
      <c r="AA14" s="673"/>
      <c r="AB14" s="673"/>
      <c r="AC14" s="674"/>
      <c r="AD14" s="675"/>
      <c r="AE14" s="676"/>
      <c r="AF14" s="676"/>
      <c r="AG14" s="440"/>
      <c r="AH14" s="440"/>
      <c r="AI14" s="440"/>
      <c r="AJ14" s="652"/>
      <c r="AK14" s="677"/>
      <c r="AL14" s="441"/>
      <c r="AM14" s="675"/>
      <c r="AN14" s="676"/>
      <c r="AO14" s="676"/>
      <c r="AP14" s="440"/>
      <c r="AQ14" s="677"/>
    </row>
    <row r="15" spans="1:43" ht="60" x14ac:dyDescent="0.25">
      <c r="A15" s="670"/>
      <c r="B15" s="671" t="s">
        <v>384</v>
      </c>
      <c r="C15" s="661"/>
      <c r="D15" s="662"/>
      <c r="E15" s="662"/>
      <c r="F15" s="662"/>
      <c r="G15" s="662"/>
      <c r="H15" s="662"/>
      <c r="I15" s="662"/>
      <c r="J15" s="662"/>
      <c r="K15" s="662"/>
      <c r="L15" s="662"/>
      <c r="M15" s="662"/>
      <c r="N15" s="663"/>
      <c r="O15" s="662"/>
      <c r="P15" s="662"/>
      <c r="Q15" s="662"/>
      <c r="R15" s="662"/>
      <c r="S15" s="662"/>
      <c r="T15" s="662"/>
      <c r="U15" s="662"/>
      <c r="V15" s="662"/>
      <c r="W15" s="662"/>
      <c r="X15" s="662"/>
      <c r="Y15" s="663"/>
      <c r="Z15" s="672"/>
      <c r="AA15" s="673"/>
      <c r="AB15" s="673"/>
      <c r="AC15" s="674"/>
      <c r="AD15" s="675"/>
      <c r="AE15" s="676"/>
      <c r="AF15" s="676"/>
      <c r="AG15" s="440"/>
      <c r="AH15" s="440"/>
      <c r="AI15" s="440"/>
      <c r="AJ15" s="652"/>
      <c r="AK15" s="677"/>
      <c r="AL15" s="441"/>
      <c r="AM15" s="675"/>
      <c r="AN15" s="676"/>
      <c r="AO15" s="676"/>
      <c r="AP15" s="440"/>
      <c r="AQ15" s="677"/>
    </row>
    <row r="16" spans="1:43" x14ac:dyDescent="0.25">
      <c r="A16" s="670"/>
      <c r="B16" s="671" t="s">
        <v>391</v>
      </c>
      <c r="C16" s="661"/>
      <c r="D16" s="662"/>
      <c r="E16" s="662"/>
      <c r="F16" s="662"/>
      <c r="G16" s="662"/>
      <c r="H16" s="662"/>
      <c r="I16" s="662"/>
      <c r="J16" s="662"/>
      <c r="K16" s="662"/>
      <c r="L16" s="662"/>
      <c r="M16" s="662"/>
      <c r="N16" s="663"/>
      <c r="O16" s="662"/>
      <c r="P16" s="662"/>
      <c r="Q16" s="662"/>
      <c r="R16" s="662"/>
      <c r="S16" s="662"/>
      <c r="T16" s="662"/>
      <c r="U16" s="662"/>
      <c r="V16" s="662"/>
      <c r="W16" s="662"/>
      <c r="X16" s="662"/>
      <c r="Y16" s="663"/>
      <c r="Z16" s="672"/>
      <c r="AA16" s="673"/>
      <c r="AB16" s="673"/>
      <c r="AC16" s="674"/>
      <c r="AD16" s="675"/>
      <c r="AE16" s="676"/>
      <c r="AF16" s="676"/>
      <c r="AG16" s="440"/>
      <c r="AH16" s="440"/>
      <c r="AI16" s="440"/>
      <c r="AJ16" s="652"/>
      <c r="AK16" s="677"/>
      <c r="AL16" s="441"/>
      <c r="AM16" s="675"/>
      <c r="AN16" s="676"/>
      <c r="AO16" s="676"/>
      <c r="AP16" s="440"/>
      <c r="AQ16" s="677"/>
    </row>
    <row r="17" spans="1:43" x14ac:dyDescent="0.25">
      <c r="A17" s="670"/>
      <c r="B17" s="671" t="s">
        <v>385</v>
      </c>
      <c r="C17" s="661"/>
      <c r="D17" s="662"/>
      <c r="E17" s="662"/>
      <c r="F17" s="662"/>
      <c r="G17" s="662"/>
      <c r="H17" s="662"/>
      <c r="I17" s="662"/>
      <c r="J17" s="662"/>
      <c r="K17" s="662"/>
      <c r="L17" s="662"/>
      <c r="M17" s="662"/>
      <c r="N17" s="663"/>
      <c r="O17" s="662"/>
      <c r="P17" s="662"/>
      <c r="Q17" s="662"/>
      <c r="R17" s="662"/>
      <c r="S17" s="662"/>
      <c r="T17" s="662"/>
      <c r="U17" s="662"/>
      <c r="V17" s="662"/>
      <c r="W17" s="662"/>
      <c r="X17" s="662"/>
      <c r="Y17" s="663"/>
      <c r="Z17" s="672"/>
      <c r="AA17" s="673"/>
      <c r="AB17" s="673"/>
      <c r="AC17" s="674"/>
      <c r="AD17" s="675"/>
      <c r="AE17" s="676"/>
      <c r="AF17" s="676"/>
      <c r="AG17" s="440"/>
      <c r="AH17" s="440"/>
      <c r="AI17" s="440"/>
      <c r="AJ17" s="652"/>
      <c r="AK17" s="677"/>
      <c r="AL17" s="441"/>
      <c r="AM17" s="675"/>
      <c r="AN17" s="676"/>
      <c r="AO17" s="676"/>
      <c r="AP17" s="440"/>
      <c r="AQ17" s="677"/>
    </row>
    <row r="18" spans="1:43" x14ac:dyDescent="0.25">
      <c r="A18" s="670"/>
      <c r="B18" s="671" t="s">
        <v>392</v>
      </c>
      <c r="C18" s="661"/>
      <c r="D18" s="662"/>
      <c r="E18" s="662"/>
      <c r="F18" s="662"/>
      <c r="G18" s="662"/>
      <c r="H18" s="662"/>
      <c r="I18" s="662"/>
      <c r="J18" s="662"/>
      <c r="K18" s="662"/>
      <c r="L18" s="662"/>
      <c r="M18" s="662"/>
      <c r="N18" s="663"/>
      <c r="O18" s="662"/>
      <c r="P18" s="662"/>
      <c r="Q18" s="662"/>
      <c r="R18" s="662"/>
      <c r="S18" s="662"/>
      <c r="T18" s="662"/>
      <c r="U18" s="662"/>
      <c r="V18" s="662"/>
      <c r="W18" s="662"/>
      <c r="X18" s="662"/>
      <c r="Y18" s="663"/>
      <c r="Z18" s="672"/>
      <c r="AA18" s="673"/>
      <c r="AB18" s="673"/>
      <c r="AC18" s="674"/>
      <c r="AD18" s="675"/>
      <c r="AE18" s="676"/>
      <c r="AF18" s="676"/>
      <c r="AG18" s="440"/>
      <c r="AH18" s="440"/>
      <c r="AI18" s="440"/>
      <c r="AJ18" s="652"/>
      <c r="AK18" s="677"/>
      <c r="AL18" s="441"/>
      <c r="AM18" s="675"/>
      <c r="AN18" s="676"/>
      <c r="AO18" s="676"/>
      <c r="AP18" s="440"/>
      <c r="AQ18" s="677"/>
    </row>
    <row r="19" spans="1:43" ht="36" x14ac:dyDescent="0.25">
      <c r="A19" s="670"/>
      <c r="B19" s="671" t="s">
        <v>386</v>
      </c>
      <c r="C19" s="661"/>
      <c r="D19" s="662"/>
      <c r="E19" s="662"/>
      <c r="F19" s="662"/>
      <c r="G19" s="662"/>
      <c r="H19" s="662"/>
      <c r="I19" s="662"/>
      <c r="J19" s="662"/>
      <c r="K19" s="662"/>
      <c r="L19" s="662"/>
      <c r="M19" s="662"/>
      <c r="N19" s="663"/>
      <c r="O19" s="662"/>
      <c r="P19" s="662"/>
      <c r="Q19" s="662"/>
      <c r="R19" s="662"/>
      <c r="S19" s="662"/>
      <c r="T19" s="662"/>
      <c r="U19" s="662"/>
      <c r="V19" s="662"/>
      <c r="W19" s="662"/>
      <c r="X19" s="662"/>
      <c r="Y19" s="663"/>
      <c r="Z19" s="672"/>
      <c r="AA19" s="673"/>
      <c r="AB19" s="673"/>
      <c r="AC19" s="674"/>
      <c r="AD19" s="675"/>
      <c r="AE19" s="676"/>
      <c r="AF19" s="676"/>
      <c r="AG19" s="440"/>
      <c r="AH19" s="440"/>
      <c r="AI19" s="440"/>
      <c r="AJ19" s="652"/>
      <c r="AK19" s="677"/>
      <c r="AL19" s="441"/>
      <c r="AM19" s="675"/>
      <c r="AN19" s="676"/>
      <c r="AO19" s="676"/>
      <c r="AP19" s="440"/>
      <c r="AQ19" s="677"/>
    </row>
    <row r="20" spans="1:43" x14ac:dyDescent="0.25">
      <c r="A20" s="670"/>
      <c r="B20" s="671" t="s">
        <v>393</v>
      </c>
      <c r="C20" s="661"/>
      <c r="D20" s="662"/>
      <c r="E20" s="662"/>
      <c r="F20" s="662"/>
      <c r="G20" s="662"/>
      <c r="H20" s="662"/>
      <c r="I20" s="662"/>
      <c r="J20" s="662"/>
      <c r="K20" s="662"/>
      <c r="L20" s="662"/>
      <c r="M20" s="662"/>
      <c r="N20" s="663"/>
      <c r="O20" s="662"/>
      <c r="P20" s="662"/>
      <c r="Q20" s="662"/>
      <c r="R20" s="662"/>
      <c r="S20" s="662"/>
      <c r="T20" s="662"/>
      <c r="U20" s="662"/>
      <c r="V20" s="662"/>
      <c r="W20" s="662"/>
      <c r="X20" s="662"/>
      <c r="Y20" s="663"/>
      <c r="Z20" s="672"/>
      <c r="AA20" s="673"/>
      <c r="AB20" s="673"/>
      <c r="AC20" s="674"/>
      <c r="AD20" s="675"/>
      <c r="AE20" s="676"/>
      <c r="AF20" s="676"/>
      <c r="AG20" s="440"/>
      <c r="AH20" s="440"/>
      <c r="AI20" s="440"/>
      <c r="AJ20" s="652"/>
      <c r="AK20" s="677"/>
      <c r="AL20" s="441"/>
      <c r="AM20" s="675"/>
      <c r="AN20" s="676"/>
      <c r="AO20" s="676"/>
      <c r="AP20" s="440"/>
      <c r="AQ20" s="677"/>
    </row>
    <row r="21" spans="1:43" x14ac:dyDescent="0.25">
      <c r="A21" s="670"/>
      <c r="B21" s="671" t="s">
        <v>394</v>
      </c>
      <c r="C21" s="661"/>
      <c r="D21" s="662"/>
      <c r="E21" s="662"/>
      <c r="F21" s="662"/>
      <c r="G21" s="662"/>
      <c r="H21" s="662"/>
      <c r="I21" s="662"/>
      <c r="J21" s="662"/>
      <c r="K21" s="662"/>
      <c r="L21" s="662"/>
      <c r="M21" s="662"/>
      <c r="N21" s="663"/>
      <c r="O21" s="662"/>
      <c r="P21" s="662"/>
      <c r="Q21" s="662"/>
      <c r="R21" s="662"/>
      <c r="S21" s="662"/>
      <c r="T21" s="662"/>
      <c r="U21" s="662"/>
      <c r="V21" s="662"/>
      <c r="W21" s="662"/>
      <c r="X21" s="662"/>
      <c r="Y21" s="663"/>
      <c r="Z21" s="672"/>
      <c r="AA21" s="673"/>
      <c r="AB21" s="673"/>
      <c r="AC21" s="674"/>
      <c r="AD21" s="675"/>
      <c r="AE21" s="676"/>
      <c r="AF21" s="676"/>
      <c r="AG21" s="440"/>
      <c r="AH21" s="440"/>
      <c r="AI21" s="440"/>
      <c r="AJ21" s="652"/>
      <c r="AK21" s="677"/>
      <c r="AL21" s="441"/>
      <c r="AM21" s="675"/>
      <c r="AN21" s="676"/>
      <c r="AO21" s="676"/>
      <c r="AP21" s="440"/>
      <c r="AQ21" s="677"/>
    </row>
    <row r="22" spans="1:43" ht="24" x14ac:dyDescent="0.25">
      <c r="A22" s="670"/>
      <c r="B22" s="671" t="s">
        <v>395</v>
      </c>
      <c r="C22" s="661"/>
      <c r="D22" s="662"/>
      <c r="E22" s="662"/>
      <c r="F22" s="662"/>
      <c r="G22" s="662"/>
      <c r="H22" s="662"/>
      <c r="I22" s="662"/>
      <c r="J22" s="662"/>
      <c r="K22" s="662"/>
      <c r="L22" s="662"/>
      <c r="M22" s="662"/>
      <c r="N22" s="663"/>
      <c r="O22" s="662"/>
      <c r="P22" s="662"/>
      <c r="Q22" s="662"/>
      <c r="R22" s="662"/>
      <c r="S22" s="662"/>
      <c r="T22" s="662"/>
      <c r="U22" s="662"/>
      <c r="V22" s="662"/>
      <c r="W22" s="662"/>
      <c r="X22" s="662"/>
      <c r="Y22" s="663"/>
      <c r="Z22" s="672"/>
      <c r="AA22" s="673"/>
      <c r="AB22" s="673"/>
      <c r="AC22" s="674"/>
      <c r="AD22" s="675"/>
      <c r="AE22" s="676"/>
      <c r="AF22" s="676"/>
      <c r="AG22" s="440"/>
      <c r="AH22" s="440"/>
      <c r="AI22" s="440"/>
      <c r="AJ22" s="652"/>
      <c r="AK22" s="677"/>
      <c r="AL22" s="441"/>
      <c r="AM22" s="675"/>
      <c r="AN22" s="676"/>
      <c r="AO22" s="676"/>
      <c r="AP22" s="440"/>
      <c r="AQ22" s="677"/>
    </row>
    <row r="23" spans="1:43" x14ac:dyDescent="0.25">
      <c r="A23" s="670"/>
      <c r="B23" s="671" t="s">
        <v>396</v>
      </c>
      <c r="C23" s="661"/>
      <c r="D23" s="662"/>
      <c r="E23" s="662"/>
      <c r="F23" s="662"/>
      <c r="G23" s="662"/>
      <c r="H23" s="662"/>
      <c r="I23" s="662"/>
      <c r="J23" s="662"/>
      <c r="K23" s="662"/>
      <c r="L23" s="662"/>
      <c r="M23" s="662"/>
      <c r="N23" s="663"/>
      <c r="O23" s="662"/>
      <c r="P23" s="662"/>
      <c r="Q23" s="662"/>
      <c r="R23" s="662"/>
      <c r="S23" s="662"/>
      <c r="T23" s="662"/>
      <c r="U23" s="662"/>
      <c r="V23" s="662"/>
      <c r="W23" s="662"/>
      <c r="X23" s="662"/>
      <c r="Y23" s="663"/>
      <c r="Z23" s="672"/>
      <c r="AA23" s="673"/>
      <c r="AB23" s="673"/>
      <c r="AC23" s="674"/>
      <c r="AD23" s="675"/>
      <c r="AE23" s="676"/>
      <c r="AF23" s="676"/>
      <c r="AG23" s="440"/>
      <c r="AH23" s="440"/>
      <c r="AI23" s="440"/>
      <c r="AJ23" s="652"/>
      <c r="AK23" s="677"/>
      <c r="AL23" s="441"/>
      <c r="AM23" s="675"/>
      <c r="AN23" s="676"/>
      <c r="AO23" s="676"/>
      <c r="AP23" s="440"/>
      <c r="AQ23" s="677"/>
    </row>
    <row r="24" spans="1:43" ht="48" x14ac:dyDescent="0.25">
      <c r="A24" s="670"/>
      <c r="B24" s="671" t="s">
        <v>430</v>
      </c>
      <c r="C24" s="661"/>
      <c r="D24" s="662"/>
      <c r="E24" s="662"/>
      <c r="F24" s="662"/>
      <c r="G24" s="662"/>
      <c r="H24" s="662"/>
      <c r="I24" s="662"/>
      <c r="J24" s="662"/>
      <c r="K24" s="662"/>
      <c r="L24" s="662"/>
      <c r="M24" s="662"/>
      <c r="N24" s="663"/>
      <c r="O24" s="662"/>
      <c r="P24" s="662"/>
      <c r="Q24" s="662"/>
      <c r="R24" s="662"/>
      <c r="S24" s="662"/>
      <c r="T24" s="662"/>
      <c r="U24" s="662"/>
      <c r="V24" s="662"/>
      <c r="W24" s="662"/>
      <c r="X24" s="662"/>
      <c r="Y24" s="663"/>
      <c r="Z24" s="672"/>
      <c r="AA24" s="673"/>
      <c r="AB24" s="673"/>
      <c r="AC24" s="674"/>
      <c r="AD24" s="675"/>
      <c r="AE24" s="676"/>
      <c r="AF24" s="676"/>
      <c r="AG24" s="440"/>
      <c r="AH24" s="440"/>
      <c r="AI24" s="440"/>
      <c r="AJ24" s="652"/>
      <c r="AK24" s="677"/>
      <c r="AL24" s="441"/>
      <c r="AM24" s="675"/>
      <c r="AN24" s="676"/>
      <c r="AO24" s="676"/>
      <c r="AP24" s="440"/>
      <c r="AQ24" s="677"/>
    </row>
    <row r="25" spans="1:43" x14ac:dyDescent="0.25">
      <c r="A25" s="670"/>
      <c r="B25" s="671" t="s">
        <v>397</v>
      </c>
      <c r="C25" s="661"/>
      <c r="D25" s="662"/>
      <c r="E25" s="662"/>
      <c r="F25" s="662"/>
      <c r="G25" s="662"/>
      <c r="H25" s="662"/>
      <c r="I25" s="662"/>
      <c r="J25" s="662"/>
      <c r="K25" s="662"/>
      <c r="L25" s="662"/>
      <c r="M25" s="662"/>
      <c r="N25" s="663"/>
      <c r="O25" s="662"/>
      <c r="P25" s="662"/>
      <c r="Q25" s="662"/>
      <c r="R25" s="662"/>
      <c r="S25" s="662"/>
      <c r="T25" s="662"/>
      <c r="U25" s="662"/>
      <c r="V25" s="662"/>
      <c r="W25" s="662"/>
      <c r="X25" s="662"/>
      <c r="Y25" s="663"/>
      <c r="Z25" s="672"/>
      <c r="AA25" s="673"/>
      <c r="AB25" s="673"/>
      <c r="AC25" s="674"/>
      <c r="AD25" s="675"/>
      <c r="AE25" s="676"/>
      <c r="AF25" s="676"/>
      <c r="AG25" s="440"/>
      <c r="AH25" s="440"/>
      <c r="AI25" s="440"/>
      <c r="AJ25" s="652"/>
      <c r="AK25" s="677"/>
      <c r="AL25" s="441"/>
      <c r="AM25" s="675"/>
      <c r="AN25" s="676"/>
      <c r="AO25" s="676"/>
      <c r="AP25" s="440"/>
      <c r="AQ25" s="677"/>
    </row>
    <row r="26" spans="1:43" ht="36" x14ac:dyDescent="0.25">
      <c r="A26" s="670"/>
      <c r="B26" s="671" t="s">
        <v>398</v>
      </c>
      <c r="C26" s="661"/>
      <c r="D26" s="662"/>
      <c r="E26" s="662"/>
      <c r="F26" s="662"/>
      <c r="G26" s="662"/>
      <c r="H26" s="662"/>
      <c r="I26" s="662"/>
      <c r="J26" s="662"/>
      <c r="K26" s="662"/>
      <c r="L26" s="662"/>
      <c r="M26" s="662"/>
      <c r="N26" s="663"/>
      <c r="O26" s="662"/>
      <c r="P26" s="662"/>
      <c r="Q26" s="662"/>
      <c r="R26" s="662"/>
      <c r="S26" s="662"/>
      <c r="T26" s="662"/>
      <c r="U26" s="662"/>
      <c r="V26" s="662"/>
      <c r="W26" s="662"/>
      <c r="X26" s="662"/>
      <c r="Y26" s="663"/>
      <c r="Z26" s="672"/>
      <c r="AA26" s="673"/>
      <c r="AB26" s="673"/>
      <c r="AC26" s="674"/>
      <c r="AD26" s="675"/>
      <c r="AE26" s="676"/>
      <c r="AF26" s="676"/>
      <c r="AG26" s="440"/>
      <c r="AH26" s="440"/>
      <c r="AI26" s="440"/>
      <c r="AJ26" s="652"/>
      <c r="AK26" s="677"/>
      <c r="AL26" s="441"/>
      <c r="AM26" s="675"/>
      <c r="AN26" s="676"/>
      <c r="AO26" s="676"/>
      <c r="AP26" s="440"/>
      <c r="AQ26" s="677"/>
    </row>
    <row r="27" spans="1:43" x14ac:dyDescent="0.25">
      <c r="A27" s="670"/>
      <c r="B27" s="671" t="s">
        <v>399</v>
      </c>
      <c r="C27" s="661"/>
      <c r="D27" s="662"/>
      <c r="E27" s="662"/>
      <c r="F27" s="662"/>
      <c r="G27" s="662"/>
      <c r="H27" s="662"/>
      <c r="I27" s="662"/>
      <c r="J27" s="662"/>
      <c r="K27" s="662"/>
      <c r="L27" s="662"/>
      <c r="M27" s="662"/>
      <c r="N27" s="663"/>
      <c r="O27" s="662"/>
      <c r="P27" s="662"/>
      <c r="Q27" s="662"/>
      <c r="R27" s="662"/>
      <c r="S27" s="662"/>
      <c r="T27" s="662"/>
      <c r="U27" s="662"/>
      <c r="V27" s="662"/>
      <c r="W27" s="662"/>
      <c r="X27" s="662"/>
      <c r="Y27" s="663"/>
      <c r="Z27" s="672"/>
      <c r="AA27" s="673"/>
      <c r="AB27" s="673"/>
      <c r="AC27" s="674"/>
      <c r="AD27" s="675"/>
      <c r="AE27" s="676"/>
      <c r="AF27" s="676"/>
      <c r="AG27" s="440"/>
      <c r="AH27" s="440"/>
      <c r="AI27" s="440"/>
      <c r="AJ27" s="652"/>
      <c r="AK27" s="677"/>
      <c r="AL27" s="441"/>
      <c r="AM27" s="675"/>
      <c r="AN27" s="676"/>
      <c r="AO27" s="676"/>
      <c r="AP27" s="440"/>
      <c r="AQ27" s="677"/>
    </row>
    <row r="28" spans="1:43" x14ac:dyDescent="0.25">
      <c r="A28" s="670"/>
      <c r="B28" s="671" t="s">
        <v>400</v>
      </c>
      <c r="C28" s="661"/>
      <c r="D28" s="662"/>
      <c r="E28" s="662"/>
      <c r="F28" s="662"/>
      <c r="G28" s="662"/>
      <c r="H28" s="662"/>
      <c r="I28" s="662"/>
      <c r="J28" s="662"/>
      <c r="K28" s="662"/>
      <c r="L28" s="662"/>
      <c r="M28" s="662"/>
      <c r="N28" s="663"/>
      <c r="O28" s="662"/>
      <c r="P28" s="662"/>
      <c r="Q28" s="662"/>
      <c r="R28" s="662"/>
      <c r="S28" s="662"/>
      <c r="T28" s="662"/>
      <c r="U28" s="662"/>
      <c r="V28" s="662"/>
      <c r="W28" s="662"/>
      <c r="X28" s="662"/>
      <c r="Y28" s="663"/>
      <c r="Z28" s="672"/>
      <c r="AA28" s="673"/>
      <c r="AB28" s="673"/>
      <c r="AC28" s="674"/>
      <c r="AD28" s="675"/>
      <c r="AE28" s="676"/>
      <c r="AF28" s="676"/>
      <c r="AG28" s="440"/>
      <c r="AH28" s="440"/>
      <c r="AI28" s="440"/>
      <c r="AJ28" s="652"/>
      <c r="AK28" s="677"/>
      <c r="AL28" s="441"/>
      <c r="AM28" s="675"/>
      <c r="AN28" s="676"/>
      <c r="AO28" s="676"/>
      <c r="AP28" s="440"/>
      <c r="AQ28" s="677"/>
    </row>
    <row r="29" spans="1:43" x14ac:dyDescent="0.25">
      <c r="A29" s="670"/>
      <c r="B29" s="671" t="s">
        <v>401</v>
      </c>
      <c r="C29" s="661"/>
      <c r="D29" s="662"/>
      <c r="E29" s="662"/>
      <c r="F29" s="662"/>
      <c r="G29" s="662"/>
      <c r="H29" s="662"/>
      <c r="I29" s="662"/>
      <c r="J29" s="662"/>
      <c r="K29" s="662"/>
      <c r="L29" s="662"/>
      <c r="M29" s="662"/>
      <c r="N29" s="663"/>
      <c r="O29" s="662"/>
      <c r="P29" s="662"/>
      <c r="Q29" s="662"/>
      <c r="R29" s="662"/>
      <c r="S29" s="662"/>
      <c r="T29" s="662"/>
      <c r="U29" s="662"/>
      <c r="V29" s="662"/>
      <c r="W29" s="662"/>
      <c r="X29" s="662"/>
      <c r="Y29" s="663"/>
      <c r="Z29" s="672"/>
      <c r="AA29" s="673"/>
      <c r="AB29" s="673"/>
      <c r="AC29" s="674"/>
      <c r="AD29" s="675"/>
      <c r="AE29" s="676"/>
      <c r="AF29" s="676"/>
      <c r="AG29" s="440"/>
      <c r="AH29" s="440"/>
      <c r="AI29" s="440"/>
      <c r="AJ29" s="652"/>
      <c r="AK29" s="677"/>
      <c r="AL29" s="441"/>
      <c r="AM29" s="675"/>
      <c r="AN29" s="676"/>
      <c r="AO29" s="676"/>
      <c r="AP29" s="440"/>
      <c r="AQ29" s="677"/>
    </row>
    <row r="30" spans="1:43" ht="36" x14ac:dyDescent="0.25">
      <c r="A30" s="670"/>
      <c r="B30" s="671" t="s">
        <v>475</v>
      </c>
      <c r="C30" s="661"/>
      <c r="D30" s="662"/>
      <c r="E30" s="662"/>
      <c r="F30" s="662"/>
      <c r="G30" s="662"/>
      <c r="H30" s="662"/>
      <c r="I30" s="662"/>
      <c r="J30" s="662"/>
      <c r="K30" s="662"/>
      <c r="L30" s="662"/>
      <c r="M30" s="662"/>
      <c r="N30" s="663"/>
      <c r="O30" s="662"/>
      <c r="P30" s="662"/>
      <c r="Q30" s="662"/>
      <c r="R30" s="662"/>
      <c r="S30" s="662"/>
      <c r="T30" s="662"/>
      <c r="U30" s="662"/>
      <c r="V30" s="662"/>
      <c r="W30" s="662"/>
      <c r="X30" s="662"/>
      <c r="Y30" s="663"/>
      <c r="Z30" s="672"/>
      <c r="AA30" s="673"/>
      <c r="AB30" s="673"/>
      <c r="AC30" s="674"/>
      <c r="AD30" s="675"/>
      <c r="AE30" s="676"/>
      <c r="AF30" s="676"/>
      <c r="AG30" s="440"/>
      <c r="AH30" s="440"/>
      <c r="AI30" s="440"/>
      <c r="AJ30" s="652"/>
      <c r="AK30" s="677"/>
      <c r="AL30" s="441"/>
      <c r="AM30" s="675"/>
      <c r="AN30" s="676"/>
      <c r="AO30" s="676"/>
      <c r="AP30" s="440"/>
      <c r="AQ30" s="677"/>
    </row>
    <row r="31" spans="1:43" x14ac:dyDescent="0.25">
      <c r="A31" s="670"/>
      <c r="B31" s="671" t="s">
        <v>431</v>
      </c>
      <c r="C31" s="661"/>
      <c r="D31" s="662"/>
      <c r="E31" s="662"/>
      <c r="F31" s="662"/>
      <c r="G31" s="662"/>
      <c r="H31" s="662"/>
      <c r="I31" s="662"/>
      <c r="J31" s="662"/>
      <c r="K31" s="662"/>
      <c r="L31" s="662"/>
      <c r="M31" s="662"/>
      <c r="N31" s="663"/>
      <c r="O31" s="662"/>
      <c r="P31" s="662"/>
      <c r="Q31" s="662"/>
      <c r="R31" s="662"/>
      <c r="S31" s="662"/>
      <c r="T31" s="662"/>
      <c r="U31" s="662"/>
      <c r="V31" s="662"/>
      <c r="W31" s="662"/>
      <c r="X31" s="662"/>
      <c r="Y31" s="663"/>
      <c r="Z31" s="672"/>
      <c r="AA31" s="673"/>
      <c r="AB31" s="673"/>
      <c r="AC31" s="674"/>
      <c r="AD31" s="675"/>
      <c r="AE31" s="676"/>
      <c r="AF31" s="676"/>
      <c r="AG31" s="440"/>
      <c r="AH31" s="440"/>
      <c r="AI31" s="440"/>
      <c r="AJ31" s="652"/>
      <c r="AK31" s="677"/>
      <c r="AL31" s="441"/>
      <c r="AM31" s="675"/>
      <c r="AN31" s="676"/>
      <c r="AO31" s="676"/>
      <c r="AP31" s="440"/>
      <c r="AQ31" s="677"/>
    </row>
    <row r="32" spans="1:43" ht="24" x14ac:dyDescent="0.25">
      <c r="A32" s="670"/>
      <c r="B32" s="671" t="s">
        <v>476</v>
      </c>
      <c r="C32" s="661"/>
      <c r="D32" s="662"/>
      <c r="E32" s="662"/>
      <c r="F32" s="662"/>
      <c r="G32" s="662"/>
      <c r="H32" s="662"/>
      <c r="I32" s="662"/>
      <c r="J32" s="662"/>
      <c r="K32" s="662"/>
      <c r="L32" s="662"/>
      <c r="M32" s="662"/>
      <c r="N32" s="663"/>
      <c r="O32" s="662"/>
      <c r="P32" s="662"/>
      <c r="Q32" s="662"/>
      <c r="R32" s="662"/>
      <c r="S32" s="662"/>
      <c r="T32" s="662"/>
      <c r="U32" s="662"/>
      <c r="V32" s="662"/>
      <c r="W32" s="662"/>
      <c r="X32" s="662"/>
      <c r="Y32" s="663"/>
      <c r="Z32" s="672"/>
      <c r="AA32" s="673"/>
      <c r="AB32" s="673"/>
      <c r="AC32" s="674"/>
      <c r="AD32" s="675"/>
      <c r="AE32" s="676"/>
      <c r="AF32" s="676"/>
      <c r="AG32" s="440"/>
      <c r="AH32" s="440"/>
      <c r="AI32" s="440"/>
      <c r="AJ32" s="652"/>
      <c r="AK32" s="677"/>
      <c r="AL32" s="441"/>
      <c r="AM32" s="675"/>
      <c r="AN32" s="676"/>
      <c r="AO32" s="676"/>
      <c r="AP32" s="440"/>
      <c r="AQ32" s="677"/>
    </row>
    <row r="33" spans="1:43" ht="48" x14ac:dyDescent="0.25">
      <c r="A33" s="670"/>
      <c r="B33" s="671" t="s">
        <v>404</v>
      </c>
      <c r="C33" s="661"/>
      <c r="D33" s="662"/>
      <c r="E33" s="662"/>
      <c r="F33" s="662"/>
      <c r="G33" s="662"/>
      <c r="H33" s="662"/>
      <c r="I33" s="662"/>
      <c r="J33" s="662"/>
      <c r="K33" s="662"/>
      <c r="L33" s="662"/>
      <c r="M33" s="662"/>
      <c r="N33" s="663"/>
      <c r="O33" s="662"/>
      <c r="P33" s="662"/>
      <c r="Q33" s="662"/>
      <c r="R33" s="662"/>
      <c r="S33" s="662"/>
      <c r="T33" s="662"/>
      <c r="U33" s="662"/>
      <c r="V33" s="662"/>
      <c r="W33" s="662"/>
      <c r="X33" s="662"/>
      <c r="Y33" s="663"/>
      <c r="Z33" s="672"/>
      <c r="AA33" s="673"/>
      <c r="AB33" s="673"/>
      <c r="AC33" s="674"/>
      <c r="AD33" s="675"/>
      <c r="AE33" s="676"/>
      <c r="AF33" s="676"/>
      <c r="AG33" s="440"/>
      <c r="AH33" s="440"/>
      <c r="AI33" s="440"/>
      <c r="AJ33" s="652"/>
      <c r="AK33" s="677"/>
      <c r="AL33" s="441"/>
      <c r="AM33" s="675"/>
      <c r="AN33" s="676"/>
      <c r="AO33" s="676"/>
      <c r="AP33" s="440"/>
      <c r="AQ33" s="677"/>
    </row>
    <row r="34" spans="1:43" ht="24" x14ac:dyDescent="0.25">
      <c r="A34" s="670"/>
      <c r="B34" s="671" t="s">
        <v>477</v>
      </c>
      <c r="C34" s="661"/>
      <c r="D34" s="662"/>
      <c r="E34" s="662"/>
      <c r="F34" s="662"/>
      <c r="G34" s="662"/>
      <c r="H34" s="662"/>
      <c r="I34" s="662"/>
      <c r="J34" s="662"/>
      <c r="K34" s="662"/>
      <c r="L34" s="662"/>
      <c r="M34" s="662"/>
      <c r="N34" s="663"/>
      <c r="O34" s="662"/>
      <c r="P34" s="662"/>
      <c r="Q34" s="662"/>
      <c r="R34" s="662"/>
      <c r="S34" s="662"/>
      <c r="T34" s="662"/>
      <c r="U34" s="662"/>
      <c r="V34" s="662"/>
      <c r="W34" s="662"/>
      <c r="X34" s="662"/>
      <c r="Y34" s="663"/>
      <c r="Z34" s="672"/>
      <c r="AA34" s="673"/>
      <c r="AB34" s="673"/>
      <c r="AC34" s="674"/>
      <c r="AD34" s="675"/>
      <c r="AE34" s="676"/>
      <c r="AF34" s="676"/>
      <c r="AG34" s="440"/>
      <c r="AH34" s="440"/>
      <c r="AI34" s="440"/>
      <c r="AJ34" s="652"/>
      <c r="AK34" s="677"/>
      <c r="AL34" s="441"/>
      <c r="AM34" s="675"/>
      <c r="AN34" s="676"/>
      <c r="AO34" s="676"/>
      <c r="AP34" s="440"/>
      <c r="AQ34" s="677"/>
    </row>
    <row r="35" spans="1:43" ht="48" x14ac:dyDescent="0.25">
      <c r="A35" s="670"/>
      <c r="B35" s="671" t="s">
        <v>478</v>
      </c>
      <c r="C35" s="661"/>
      <c r="D35" s="662"/>
      <c r="E35" s="662"/>
      <c r="F35" s="662"/>
      <c r="G35" s="662"/>
      <c r="H35" s="662"/>
      <c r="I35" s="662"/>
      <c r="J35" s="662"/>
      <c r="K35" s="662"/>
      <c r="L35" s="662"/>
      <c r="M35" s="662"/>
      <c r="N35" s="663"/>
      <c r="O35" s="662"/>
      <c r="P35" s="662"/>
      <c r="Q35" s="662"/>
      <c r="R35" s="662"/>
      <c r="S35" s="662"/>
      <c r="T35" s="662"/>
      <c r="U35" s="662"/>
      <c r="V35" s="662"/>
      <c r="W35" s="662"/>
      <c r="X35" s="662"/>
      <c r="Y35" s="663"/>
      <c r="Z35" s="672"/>
      <c r="AA35" s="673"/>
      <c r="AB35" s="673"/>
      <c r="AC35" s="674"/>
      <c r="AD35" s="675"/>
      <c r="AE35" s="676"/>
      <c r="AF35" s="676"/>
      <c r="AG35" s="440"/>
      <c r="AH35" s="440"/>
      <c r="AI35" s="440"/>
      <c r="AJ35" s="652"/>
      <c r="AK35" s="677"/>
      <c r="AL35" s="441"/>
      <c r="AM35" s="675"/>
      <c r="AN35" s="676"/>
      <c r="AO35" s="676"/>
      <c r="AP35" s="440"/>
      <c r="AQ35" s="677"/>
    </row>
    <row r="36" spans="1:43" x14ac:dyDescent="0.25">
      <c r="A36" s="670"/>
      <c r="B36" s="671" t="s">
        <v>480</v>
      </c>
      <c r="C36" s="661"/>
      <c r="D36" s="662"/>
      <c r="E36" s="662"/>
      <c r="F36" s="662"/>
      <c r="G36" s="662"/>
      <c r="H36" s="662"/>
      <c r="I36" s="662"/>
      <c r="J36" s="662"/>
      <c r="K36" s="662"/>
      <c r="L36" s="662"/>
      <c r="M36" s="662"/>
      <c r="N36" s="663"/>
      <c r="O36" s="662"/>
      <c r="P36" s="662"/>
      <c r="Q36" s="662"/>
      <c r="R36" s="662"/>
      <c r="S36" s="662"/>
      <c r="T36" s="662"/>
      <c r="U36" s="662"/>
      <c r="V36" s="662"/>
      <c r="W36" s="662"/>
      <c r="X36" s="662"/>
      <c r="Y36" s="663"/>
      <c r="Z36" s="672"/>
      <c r="AA36" s="673"/>
      <c r="AB36" s="673"/>
      <c r="AC36" s="674"/>
      <c r="AD36" s="675"/>
      <c r="AE36" s="676"/>
      <c r="AF36" s="676"/>
      <c r="AG36" s="440"/>
      <c r="AH36" s="440"/>
      <c r="AI36" s="440"/>
      <c r="AJ36" s="652"/>
      <c r="AK36" s="677"/>
      <c r="AL36" s="441"/>
      <c r="AM36" s="675"/>
      <c r="AN36" s="676"/>
      <c r="AO36" s="676"/>
      <c r="AP36" s="440"/>
      <c r="AQ36" s="677"/>
    </row>
    <row r="37" spans="1:43" ht="36" x14ac:dyDescent="0.25">
      <c r="A37" s="670"/>
      <c r="B37" s="671" t="s">
        <v>479</v>
      </c>
      <c r="C37" s="661"/>
      <c r="D37" s="662"/>
      <c r="E37" s="662"/>
      <c r="F37" s="662"/>
      <c r="G37" s="662"/>
      <c r="H37" s="662"/>
      <c r="I37" s="662"/>
      <c r="J37" s="662"/>
      <c r="K37" s="662"/>
      <c r="L37" s="662"/>
      <c r="M37" s="662"/>
      <c r="N37" s="663"/>
      <c r="O37" s="662"/>
      <c r="P37" s="662"/>
      <c r="Q37" s="662"/>
      <c r="R37" s="662"/>
      <c r="S37" s="662"/>
      <c r="T37" s="662"/>
      <c r="U37" s="662"/>
      <c r="V37" s="662"/>
      <c r="W37" s="662"/>
      <c r="X37" s="662"/>
      <c r="Y37" s="663"/>
      <c r="Z37" s="672"/>
      <c r="AA37" s="673"/>
      <c r="AB37" s="673"/>
      <c r="AC37" s="674"/>
      <c r="AD37" s="675"/>
      <c r="AE37" s="676"/>
      <c r="AF37" s="676"/>
      <c r="AG37" s="440"/>
      <c r="AH37" s="440"/>
      <c r="AI37" s="440"/>
      <c r="AJ37" s="652"/>
      <c r="AK37" s="677"/>
      <c r="AL37" s="441"/>
      <c r="AM37" s="675"/>
      <c r="AN37" s="676"/>
      <c r="AO37" s="676"/>
      <c r="AP37" s="440"/>
      <c r="AQ37" s="677"/>
    </row>
    <row r="38" spans="1:43" x14ac:dyDescent="0.25">
      <c r="A38" s="670"/>
      <c r="B38" s="671" t="s">
        <v>405</v>
      </c>
      <c r="C38" s="661"/>
      <c r="D38" s="662"/>
      <c r="E38" s="662"/>
      <c r="F38" s="662"/>
      <c r="G38" s="662"/>
      <c r="H38" s="662"/>
      <c r="I38" s="662"/>
      <c r="J38" s="662"/>
      <c r="K38" s="662"/>
      <c r="L38" s="662"/>
      <c r="M38" s="662"/>
      <c r="N38" s="663"/>
      <c r="O38" s="662"/>
      <c r="P38" s="662"/>
      <c r="Q38" s="662"/>
      <c r="R38" s="662"/>
      <c r="S38" s="662"/>
      <c r="T38" s="662"/>
      <c r="U38" s="662"/>
      <c r="V38" s="662"/>
      <c r="W38" s="662"/>
      <c r="X38" s="662"/>
      <c r="Y38" s="663"/>
      <c r="Z38" s="672"/>
      <c r="AA38" s="673"/>
      <c r="AB38" s="673"/>
      <c r="AC38" s="674"/>
      <c r="AD38" s="675"/>
      <c r="AE38" s="676"/>
      <c r="AF38" s="676"/>
      <c r="AG38" s="440"/>
      <c r="AH38" s="440"/>
      <c r="AI38" s="440"/>
      <c r="AJ38" s="652"/>
      <c r="AK38" s="677"/>
      <c r="AL38" s="441"/>
      <c r="AM38" s="675"/>
      <c r="AN38" s="676"/>
      <c r="AO38" s="676"/>
      <c r="AP38" s="440"/>
      <c r="AQ38" s="677"/>
    </row>
    <row r="39" spans="1:43" x14ac:dyDescent="0.25">
      <c r="A39" s="670"/>
      <c r="B39" s="671" t="s">
        <v>432</v>
      </c>
      <c r="C39" s="661"/>
      <c r="D39" s="662"/>
      <c r="E39" s="662"/>
      <c r="F39" s="662"/>
      <c r="G39" s="662"/>
      <c r="H39" s="662"/>
      <c r="I39" s="662"/>
      <c r="J39" s="662"/>
      <c r="K39" s="662"/>
      <c r="L39" s="662"/>
      <c r="M39" s="662"/>
      <c r="N39" s="663"/>
      <c r="O39" s="662"/>
      <c r="P39" s="662"/>
      <c r="Q39" s="662"/>
      <c r="R39" s="662"/>
      <c r="S39" s="662"/>
      <c r="T39" s="662"/>
      <c r="U39" s="662"/>
      <c r="V39" s="662"/>
      <c r="W39" s="662"/>
      <c r="X39" s="662"/>
      <c r="Y39" s="663"/>
      <c r="Z39" s="672"/>
      <c r="AA39" s="673"/>
      <c r="AB39" s="673"/>
      <c r="AC39" s="674"/>
      <c r="AD39" s="675"/>
      <c r="AE39" s="676"/>
      <c r="AF39" s="676"/>
      <c r="AG39" s="440"/>
      <c r="AH39" s="440"/>
      <c r="AI39" s="440"/>
      <c r="AJ39" s="652"/>
      <c r="AK39" s="677"/>
      <c r="AL39" s="441"/>
      <c r="AM39" s="675"/>
      <c r="AN39" s="676"/>
      <c r="AO39" s="676"/>
      <c r="AP39" s="440"/>
      <c r="AQ39" s="677"/>
    </row>
    <row r="40" spans="1:43" x14ac:dyDescent="0.25">
      <c r="A40" s="670"/>
      <c r="B40" s="671" t="s">
        <v>406</v>
      </c>
      <c r="C40" s="661"/>
      <c r="D40" s="662"/>
      <c r="E40" s="662"/>
      <c r="F40" s="662"/>
      <c r="G40" s="662"/>
      <c r="H40" s="662"/>
      <c r="I40" s="662"/>
      <c r="J40" s="662"/>
      <c r="K40" s="662"/>
      <c r="L40" s="662"/>
      <c r="M40" s="662"/>
      <c r="N40" s="663"/>
      <c r="O40" s="662"/>
      <c r="P40" s="662"/>
      <c r="Q40" s="662"/>
      <c r="R40" s="662"/>
      <c r="S40" s="662"/>
      <c r="T40" s="662"/>
      <c r="U40" s="662"/>
      <c r="V40" s="662"/>
      <c r="W40" s="662"/>
      <c r="X40" s="662"/>
      <c r="Y40" s="663"/>
      <c r="Z40" s="672"/>
      <c r="AA40" s="673"/>
      <c r="AB40" s="673"/>
      <c r="AC40" s="674"/>
      <c r="AD40" s="675"/>
      <c r="AE40" s="676"/>
      <c r="AF40" s="676"/>
      <c r="AG40" s="440"/>
      <c r="AH40" s="440"/>
      <c r="AI40" s="440"/>
      <c r="AJ40" s="652"/>
      <c r="AK40" s="677"/>
      <c r="AL40" s="441"/>
      <c r="AM40" s="675"/>
      <c r="AN40" s="676"/>
      <c r="AO40" s="676"/>
      <c r="AP40" s="440"/>
      <c r="AQ40" s="677"/>
    </row>
    <row r="41" spans="1:43" x14ac:dyDescent="0.25">
      <c r="A41" s="670"/>
      <c r="B41" s="671" t="s">
        <v>433</v>
      </c>
      <c r="C41" s="661"/>
      <c r="D41" s="662"/>
      <c r="E41" s="662"/>
      <c r="F41" s="662"/>
      <c r="G41" s="662"/>
      <c r="H41" s="662"/>
      <c r="I41" s="662"/>
      <c r="J41" s="662"/>
      <c r="K41" s="662"/>
      <c r="L41" s="662"/>
      <c r="M41" s="662"/>
      <c r="N41" s="663"/>
      <c r="O41" s="662"/>
      <c r="P41" s="662"/>
      <c r="Q41" s="662"/>
      <c r="R41" s="662"/>
      <c r="S41" s="662"/>
      <c r="T41" s="662"/>
      <c r="U41" s="662"/>
      <c r="V41" s="662"/>
      <c r="W41" s="662"/>
      <c r="X41" s="662"/>
      <c r="Y41" s="663"/>
      <c r="Z41" s="672"/>
      <c r="AA41" s="673"/>
      <c r="AB41" s="673"/>
      <c r="AC41" s="674"/>
      <c r="AD41" s="675"/>
      <c r="AE41" s="676"/>
      <c r="AF41" s="676"/>
      <c r="AG41" s="440"/>
      <c r="AH41" s="440"/>
      <c r="AI41" s="440"/>
      <c r="AJ41" s="652"/>
      <c r="AK41" s="677"/>
      <c r="AL41" s="441"/>
      <c r="AM41" s="675"/>
      <c r="AN41" s="676"/>
      <c r="AO41" s="676"/>
      <c r="AP41" s="440"/>
      <c r="AQ41" s="677"/>
    </row>
    <row r="42" spans="1:43" x14ac:dyDescent="0.25">
      <c r="A42" s="670"/>
      <c r="B42" s="671" t="s">
        <v>406</v>
      </c>
      <c r="C42" s="661"/>
      <c r="D42" s="662"/>
      <c r="E42" s="662"/>
      <c r="F42" s="662"/>
      <c r="G42" s="662"/>
      <c r="H42" s="662"/>
      <c r="I42" s="662"/>
      <c r="J42" s="662"/>
      <c r="K42" s="662"/>
      <c r="L42" s="662"/>
      <c r="M42" s="662"/>
      <c r="N42" s="663"/>
      <c r="O42" s="662"/>
      <c r="P42" s="662"/>
      <c r="Q42" s="662"/>
      <c r="R42" s="662"/>
      <c r="S42" s="662"/>
      <c r="T42" s="662"/>
      <c r="U42" s="662"/>
      <c r="V42" s="662"/>
      <c r="W42" s="662"/>
      <c r="X42" s="662"/>
      <c r="Y42" s="663"/>
      <c r="Z42" s="672"/>
      <c r="AA42" s="673"/>
      <c r="AB42" s="673"/>
      <c r="AC42" s="674"/>
      <c r="AD42" s="675"/>
      <c r="AE42" s="676"/>
      <c r="AF42" s="676"/>
      <c r="AG42" s="440"/>
      <c r="AH42" s="440"/>
      <c r="AI42" s="440"/>
      <c r="AJ42" s="652"/>
      <c r="AK42" s="677"/>
      <c r="AL42" s="441"/>
      <c r="AM42" s="675"/>
      <c r="AN42" s="676"/>
      <c r="AO42" s="676"/>
      <c r="AP42" s="440"/>
      <c r="AQ42" s="677"/>
    </row>
    <row r="43" spans="1:43" x14ac:dyDescent="0.25">
      <c r="A43" s="670"/>
      <c r="B43" s="671" t="s">
        <v>434</v>
      </c>
      <c r="C43" s="661"/>
      <c r="D43" s="662"/>
      <c r="E43" s="662"/>
      <c r="F43" s="662"/>
      <c r="G43" s="662"/>
      <c r="H43" s="662"/>
      <c r="I43" s="662"/>
      <c r="J43" s="662"/>
      <c r="K43" s="662"/>
      <c r="L43" s="662"/>
      <c r="M43" s="662"/>
      <c r="N43" s="663"/>
      <c r="O43" s="662"/>
      <c r="P43" s="662"/>
      <c r="Q43" s="662"/>
      <c r="R43" s="662"/>
      <c r="S43" s="662"/>
      <c r="T43" s="662"/>
      <c r="U43" s="662"/>
      <c r="V43" s="662"/>
      <c r="W43" s="662"/>
      <c r="X43" s="662"/>
      <c r="Y43" s="663"/>
      <c r="Z43" s="672"/>
      <c r="AA43" s="673"/>
      <c r="AB43" s="673"/>
      <c r="AC43" s="674"/>
      <c r="AD43" s="675"/>
      <c r="AE43" s="676"/>
      <c r="AF43" s="676"/>
      <c r="AG43" s="440"/>
      <c r="AH43" s="440"/>
      <c r="AI43" s="440"/>
      <c r="AJ43" s="652"/>
      <c r="AK43" s="677"/>
      <c r="AL43" s="441"/>
      <c r="AM43" s="675"/>
      <c r="AN43" s="676"/>
      <c r="AO43" s="676"/>
      <c r="AP43" s="440"/>
      <c r="AQ43" s="677"/>
    </row>
    <row r="44" spans="1:43" x14ac:dyDescent="0.25">
      <c r="A44" s="670"/>
      <c r="B44" s="671" t="s">
        <v>406</v>
      </c>
      <c r="C44" s="661"/>
      <c r="D44" s="662"/>
      <c r="E44" s="662"/>
      <c r="F44" s="662"/>
      <c r="G44" s="662"/>
      <c r="H44" s="662"/>
      <c r="I44" s="662"/>
      <c r="J44" s="662"/>
      <c r="K44" s="662"/>
      <c r="L44" s="662"/>
      <c r="M44" s="662"/>
      <c r="N44" s="663"/>
      <c r="O44" s="662"/>
      <c r="P44" s="662"/>
      <c r="Q44" s="662"/>
      <c r="R44" s="662"/>
      <c r="S44" s="662"/>
      <c r="T44" s="662"/>
      <c r="U44" s="662"/>
      <c r="V44" s="662"/>
      <c r="W44" s="662"/>
      <c r="X44" s="662"/>
      <c r="Y44" s="663"/>
      <c r="Z44" s="672"/>
      <c r="AA44" s="673"/>
      <c r="AB44" s="673"/>
      <c r="AC44" s="674"/>
      <c r="AD44" s="675"/>
      <c r="AE44" s="676"/>
      <c r="AF44" s="676"/>
      <c r="AG44" s="440"/>
      <c r="AH44" s="440"/>
      <c r="AI44" s="440"/>
      <c r="AJ44" s="652"/>
      <c r="AK44" s="677"/>
      <c r="AL44" s="441"/>
      <c r="AM44" s="675"/>
      <c r="AN44" s="676"/>
      <c r="AO44" s="676"/>
      <c r="AP44" s="440"/>
      <c r="AQ44" s="677"/>
    </row>
    <row r="45" spans="1:43" x14ac:dyDescent="0.25">
      <c r="A45" s="670"/>
      <c r="B45" s="671" t="s">
        <v>407</v>
      </c>
      <c r="C45" s="661"/>
      <c r="D45" s="662"/>
      <c r="E45" s="662"/>
      <c r="F45" s="662"/>
      <c r="G45" s="662"/>
      <c r="H45" s="662"/>
      <c r="I45" s="662"/>
      <c r="J45" s="662"/>
      <c r="K45" s="662"/>
      <c r="L45" s="662"/>
      <c r="M45" s="662"/>
      <c r="N45" s="663"/>
      <c r="O45" s="662"/>
      <c r="P45" s="662"/>
      <c r="Q45" s="662"/>
      <c r="R45" s="662"/>
      <c r="S45" s="662"/>
      <c r="T45" s="662"/>
      <c r="U45" s="662"/>
      <c r="V45" s="662"/>
      <c r="W45" s="662"/>
      <c r="X45" s="662"/>
      <c r="Y45" s="663"/>
      <c r="Z45" s="672"/>
      <c r="AA45" s="673"/>
      <c r="AB45" s="673"/>
      <c r="AC45" s="674"/>
      <c r="AD45" s="675"/>
      <c r="AE45" s="676"/>
      <c r="AF45" s="676"/>
      <c r="AG45" s="440"/>
      <c r="AH45" s="440"/>
      <c r="AI45" s="440"/>
      <c r="AJ45" s="652"/>
      <c r="AK45" s="677"/>
      <c r="AL45" s="441"/>
      <c r="AM45" s="675"/>
      <c r="AN45" s="676"/>
      <c r="AO45" s="676"/>
      <c r="AP45" s="440"/>
      <c r="AQ45" s="677"/>
    </row>
    <row r="46" spans="1:43" x14ac:dyDescent="0.25">
      <c r="A46" s="670"/>
      <c r="B46" s="671" t="s">
        <v>408</v>
      </c>
      <c r="C46" s="661"/>
      <c r="D46" s="662"/>
      <c r="E46" s="662"/>
      <c r="F46" s="662"/>
      <c r="G46" s="662"/>
      <c r="H46" s="662"/>
      <c r="I46" s="662"/>
      <c r="J46" s="662"/>
      <c r="K46" s="662"/>
      <c r="L46" s="662"/>
      <c r="M46" s="662"/>
      <c r="N46" s="663"/>
      <c r="O46" s="662"/>
      <c r="P46" s="662"/>
      <c r="Q46" s="662"/>
      <c r="R46" s="662"/>
      <c r="S46" s="662"/>
      <c r="T46" s="662"/>
      <c r="U46" s="662"/>
      <c r="V46" s="662"/>
      <c r="W46" s="662"/>
      <c r="X46" s="662"/>
      <c r="Y46" s="663"/>
      <c r="Z46" s="672"/>
      <c r="AA46" s="673"/>
      <c r="AB46" s="673"/>
      <c r="AC46" s="674"/>
      <c r="AD46" s="675"/>
      <c r="AE46" s="676"/>
      <c r="AF46" s="676"/>
      <c r="AG46" s="440"/>
      <c r="AH46" s="440"/>
      <c r="AI46" s="440"/>
      <c r="AJ46" s="652"/>
      <c r="AK46" s="677"/>
      <c r="AL46" s="441"/>
      <c r="AM46" s="675"/>
      <c r="AN46" s="676"/>
      <c r="AO46" s="676"/>
      <c r="AP46" s="440"/>
      <c r="AQ46" s="677"/>
    </row>
    <row r="47" spans="1:43" x14ac:dyDescent="0.25">
      <c r="A47" s="670"/>
      <c r="B47" s="671" t="s">
        <v>406</v>
      </c>
      <c r="C47" s="661"/>
      <c r="D47" s="662"/>
      <c r="E47" s="662"/>
      <c r="F47" s="662"/>
      <c r="G47" s="662"/>
      <c r="H47" s="662"/>
      <c r="I47" s="662"/>
      <c r="J47" s="662"/>
      <c r="K47" s="662"/>
      <c r="L47" s="662"/>
      <c r="M47" s="662"/>
      <c r="N47" s="663"/>
      <c r="O47" s="662"/>
      <c r="P47" s="662"/>
      <c r="Q47" s="662"/>
      <c r="R47" s="662"/>
      <c r="S47" s="662"/>
      <c r="T47" s="662"/>
      <c r="U47" s="662"/>
      <c r="V47" s="662"/>
      <c r="W47" s="662"/>
      <c r="X47" s="662"/>
      <c r="Y47" s="663"/>
      <c r="Z47" s="672"/>
      <c r="AA47" s="673"/>
      <c r="AB47" s="673"/>
      <c r="AC47" s="674"/>
      <c r="AD47" s="675"/>
      <c r="AE47" s="676"/>
      <c r="AF47" s="676"/>
      <c r="AG47" s="440"/>
      <c r="AH47" s="440"/>
      <c r="AI47" s="440"/>
      <c r="AJ47" s="652"/>
      <c r="AK47" s="677"/>
      <c r="AL47" s="441"/>
      <c r="AM47" s="675"/>
      <c r="AN47" s="676"/>
      <c r="AO47" s="676"/>
      <c r="AP47" s="440"/>
      <c r="AQ47" s="677"/>
    </row>
    <row r="48" spans="1:43" x14ac:dyDescent="0.25">
      <c r="A48" s="670"/>
      <c r="B48" s="671" t="s">
        <v>409</v>
      </c>
      <c r="C48" s="661"/>
      <c r="D48" s="662"/>
      <c r="E48" s="662"/>
      <c r="F48" s="662"/>
      <c r="G48" s="662"/>
      <c r="H48" s="662"/>
      <c r="I48" s="662"/>
      <c r="J48" s="662"/>
      <c r="K48" s="662"/>
      <c r="L48" s="662"/>
      <c r="M48" s="662"/>
      <c r="N48" s="663"/>
      <c r="O48" s="662"/>
      <c r="P48" s="662"/>
      <c r="Q48" s="662"/>
      <c r="R48" s="662"/>
      <c r="S48" s="662"/>
      <c r="T48" s="662"/>
      <c r="U48" s="662"/>
      <c r="V48" s="662"/>
      <c r="W48" s="662"/>
      <c r="X48" s="662"/>
      <c r="Y48" s="663"/>
      <c r="Z48" s="672"/>
      <c r="AA48" s="673"/>
      <c r="AB48" s="673"/>
      <c r="AC48" s="674"/>
      <c r="AD48" s="675"/>
      <c r="AE48" s="676"/>
      <c r="AF48" s="676"/>
      <c r="AG48" s="440"/>
      <c r="AH48" s="440"/>
      <c r="AI48" s="440"/>
      <c r="AJ48" s="652"/>
      <c r="AK48" s="677"/>
      <c r="AL48" s="441"/>
      <c r="AM48" s="675"/>
      <c r="AN48" s="676"/>
      <c r="AO48" s="676"/>
      <c r="AP48" s="440"/>
      <c r="AQ48" s="677"/>
    </row>
    <row r="49" spans="1:43" x14ac:dyDescent="0.25">
      <c r="A49" s="670"/>
      <c r="B49" s="671" t="s">
        <v>406</v>
      </c>
      <c r="C49" s="661"/>
      <c r="D49" s="662"/>
      <c r="E49" s="662"/>
      <c r="F49" s="662"/>
      <c r="G49" s="662"/>
      <c r="H49" s="662"/>
      <c r="I49" s="662"/>
      <c r="J49" s="662"/>
      <c r="K49" s="662"/>
      <c r="L49" s="662"/>
      <c r="M49" s="662"/>
      <c r="N49" s="663"/>
      <c r="O49" s="662"/>
      <c r="P49" s="662"/>
      <c r="Q49" s="662"/>
      <c r="R49" s="662"/>
      <c r="S49" s="662"/>
      <c r="T49" s="662"/>
      <c r="U49" s="662"/>
      <c r="V49" s="662"/>
      <c r="W49" s="662"/>
      <c r="X49" s="662"/>
      <c r="Y49" s="663"/>
      <c r="Z49" s="672"/>
      <c r="AA49" s="673"/>
      <c r="AB49" s="673"/>
      <c r="AC49" s="674"/>
      <c r="AD49" s="675"/>
      <c r="AE49" s="676"/>
      <c r="AF49" s="676"/>
      <c r="AG49" s="440"/>
      <c r="AH49" s="440"/>
      <c r="AI49" s="440"/>
      <c r="AJ49" s="652"/>
      <c r="AK49" s="677"/>
      <c r="AL49" s="441"/>
      <c r="AM49" s="675"/>
      <c r="AN49" s="676"/>
      <c r="AO49" s="676"/>
      <c r="AP49" s="440"/>
      <c r="AQ49" s="677"/>
    </row>
    <row r="50" spans="1:43" x14ac:dyDescent="0.25">
      <c r="A50" s="670"/>
      <c r="B50" s="671" t="s">
        <v>435</v>
      </c>
      <c r="C50" s="661"/>
      <c r="D50" s="662"/>
      <c r="E50" s="662"/>
      <c r="F50" s="662"/>
      <c r="G50" s="662"/>
      <c r="H50" s="662"/>
      <c r="I50" s="662"/>
      <c r="J50" s="662"/>
      <c r="K50" s="662"/>
      <c r="L50" s="662"/>
      <c r="M50" s="662"/>
      <c r="N50" s="663"/>
      <c r="O50" s="662"/>
      <c r="P50" s="662"/>
      <c r="Q50" s="662"/>
      <c r="R50" s="662"/>
      <c r="S50" s="662"/>
      <c r="T50" s="662"/>
      <c r="U50" s="662"/>
      <c r="V50" s="662"/>
      <c r="W50" s="662"/>
      <c r="X50" s="662"/>
      <c r="Y50" s="663"/>
      <c r="Z50" s="672"/>
      <c r="AA50" s="673"/>
      <c r="AB50" s="673"/>
      <c r="AC50" s="674"/>
      <c r="AD50" s="675"/>
      <c r="AE50" s="676"/>
      <c r="AF50" s="676"/>
      <c r="AG50" s="440"/>
      <c r="AH50" s="440"/>
      <c r="AI50" s="440"/>
      <c r="AJ50" s="652"/>
      <c r="AK50" s="677"/>
      <c r="AL50" s="441"/>
      <c r="AM50" s="675"/>
      <c r="AN50" s="676"/>
      <c r="AO50" s="676"/>
      <c r="AP50" s="440"/>
      <c r="AQ50" s="677"/>
    </row>
    <row r="51" spans="1:43" x14ac:dyDescent="0.25">
      <c r="A51" s="670"/>
      <c r="B51" s="671" t="s">
        <v>406</v>
      </c>
      <c r="C51" s="661"/>
      <c r="D51" s="662"/>
      <c r="E51" s="662"/>
      <c r="F51" s="662"/>
      <c r="G51" s="662"/>
      <c r="H51" s="662"/>
      <c r="I51" s="662"/>
      <c r="J51" s="662"/>
      <c r="K51" s="662"/>
      <c r="L51" s="662"/>
      <c r="M51" s="662"/>
      <c r="N51" s="663"/>
      <c r="O51" s="662"/>
      <c r="P51" s="662"/>
      <c r="Q51" s="662"/>
      <c r="R51" s="662"/>
      <c r="S51" s="662"/>
      <c r="T51" s="662"/>
      <c r="U51" s="662"/>
      <c r="V51" s="662"/>
      <c r="W51" s="662"/>
      <c r="X51" s="662"/>
      <c r="Y51" s="663"/>
      <c r="Z51" s="672"/>
      <c r="AA51" s="673"/>
      <c r="AB51" s="673"/>
      <c r="AC51" s="674"/>
      <c r="AD51" s="675"/>
      <c r="AE51" s="676"/>
      <c r="AF51" s="676"/>
      <c r="AG51" s="440"/>
      <c r="AH51" s="440"/>
      <c r="AI51" s="440"/>
      <c r="AJ51" s="652"/>
      <c r="AK51" s="677"/>
      <c r="AL51" s="441"/>
      <c r="AM51" s="675"/>
      <c r="AN51" s="676"/>
      <c r="AO51" s="676"/>
      <c r="AP51" s="440"/>
      <c r="AQ51" s="677"/>
    </row>
    <row r="52" spans="1:43" x14ac:dyDescent="0.25">
      <c r="A52" s="670"/>
      <c r="B52" s="671" t="s">
        <v>410</v>
      </c>
      <c r="C52" s="661"/>
      <c r="D52" s="662"/>
      <c r="E52" s="662"/>
      <c r="F52" s="662"/>
      <c r="G52" s="662"/>
      <c r="H52" s="662"/>
      <c r="I52" s="662"/>
      <c r="J52" s="662"/>
      <c r="K52" s="662"/>
      <c r="L52" s="662"/>
      <c r="M52" s="662"/>
      <c r="N52" s="663"/>
      <c r="O52" s="662"/>
      <c r="P52" s="662"/>
      <c r="Q52" s="662"/>
      <c r="R52" s="662"/>
      <c r="S52" s="662"/>
      <c r="T52" s="662"/>
      <c r="U52" s="662"/>
      <c r="V52" s="662"/>
      <c r="W52" s="662"/>
      <c r="X52" s="662"/>
      <c r="Y52" s="663"/>
      <c r="Z52" s="672"/>
      <c r="AA52" s="673"/>
      <c r="AB52" s="673"/>
      <c r="AC52" s="674"/>
      <c r="AD52" s="675"/>
      <c r="AE52" s="676"/>
      <c r="AF52" s="676"/>
      <c r="AG52" s="440"/>
      <c r="AH52" s="440"/>
      <c r="AI52" s="440"/>
      <c r="AJ52" s="652"/>
      <c r="AK52" s="677"/>
      <c r="AL52" s="441"/>
      <c r="AM52" s="675"/>
      <c r="AN52" s="676"/>
      <c r="AO52" s="676"/>
      <c r="AP52" s="440"/>
      <c r="AQ52" s="677"/>
    </row>
    <row r="53" spans="1:43" x14ac:dyDescent="0.25">
      <c r="A53" s="670"/>
      <c r="B53" s="671" t="s">
        <v>411</v>
      </c>
      <c r="C53" s="661"/>
      <c r="D53" s="662"/>
      <c r="E53" s="662"/>
      <c r="F53" s="662"/>
      <c r="G53" s="662"/>
      <c r="H53" s="662"/>
      <c r="I53" s="662"/>
      <c r="J53" s="662"/>
      <c r="K53" s="662"/>
      <c r="L53" s="662"/>
      <c r="M53" s="662"/>
      <c r="N53" s="663"/>
      <c r="O53" s="662"/>
      <c r="P53" s="662"/>
      <c r="Q53" s="662"/>
      <c r="R53" s="662"/>
      <c r="S53" s="662"/>
      <c r="T53" s="662"/>
      <c r="U53" s="662"/>
      <c r="V53" s="662"/>
      <c r="W53" s="662"/>
      <c r="X53" s="662"/>
      <c r="Y53" s="663"/>
      <c r="Z53" s="672"/>
      <c r="AA53" s="673"/>
      <c r="AB53" s="673"/>
      <c r="AC53" s="674"/>
      <c r="AD53" s="675"/>
      <c r="AE53" s="676"/>
      <c r="AF53" s="676"/>
      <c r="AG53" s="440"/>
      <c r="AH53" s="440"/>
      <c r="AI53" s="440"/>
      <c r="AJ53" s="652"/>
      <c r="AK53" s="677"/>
      <c r="AL53" s="441"/>
      <c r="AM53" s="675"/>
      <c r="AN53" s="676"/>
      <c r="AO53" s="676"/>
      <c r="AP53" s="440"/>
      <c r="AQ53" s="677"/>
    </row>
    <row r="54" spans="1:43" x14ac:dyDescent="0.25">
      <c r="A54" s="670"/>
      <c r="B54" s="671" t="s">
        <v>412</v>
      </c>
      <c r="C54" s="661"/>
      <c r="D54" s="662"/>
      <c r="E54" s="662"/>
      <c r="F54" s="662"/>
      <c r="G54" s="662"/>
      <c r="H54" s="662"/>
      <c r="I54" s="662"/>
      <c r="J54" s="662"/>
      <c r="K54" s="662"/>
      <c r="L54" s="662"/>
      <c r="M54" s="662"/>
      <c r="N54" s="663"/>
      <c r="O54" s="662"/>
      <c r="P54" s="662"/>
      <c r="Q54" s="662"/>
      <c r="R54" s="662"/>
      <c r="S54" s="662"/>
      <c r="T54" s="662"/>
      <c r="U54" s="662"/>
      <c r="V54" s="662"/>
      <c r="W54" s="662"/>
      <c r="X54" s="662"/>
      <c r="Y54" s="663"/>
      <c r="Z54" s="672"/>
      <c r="AA54" s="673"/>
      <c r="AB54" s="673"/>
      <c r="AC54" s="674"/>
      <c r="AD54" s="675"/>
      <c r="AE54" s="676"/>
      <c r="AF54" s="676"/>
      <c r="AG54" s="440"/>
      <c r="AH54" s="440"/>
      <c r="AI54" s="440"/>
      <c r="AJ54" s="652"/>
      <c r="AK54" s="677"/>
      <c r="AL54" s="441"/>
      <c r="AM54" s="675"/>
      <c r="AN54" s="676"/>
      <c r="AO54" s="676"/>
      <c r="AP54" s="440"/>
      <c r="AQ54" s="677"/>
    </row>
    <row r="55" spans="1:43" x14ac:dyDescent="0.25">
      <c r="A55" s="670"/>
      <c r="B55" s="671" t="s">
        <v>413</v>
      </c>
      <c r="C55" s="661"/>
      <c r="D55" s="662"/>
      <c r="E55" s="662"/>
      <c r="F55" s="662"/>
      <c r="G55" s="662"/>
      <c r="H55" s="662"/>
      <c r="I55" s="662"/>
      <c r="J55" s="662"/>
      <c r="K55" s="662"/>
      <c r="L55" s="662"/>
      <c r="M55" s="662"/>
      <c r="N55" s="663"/>
      <c r="O55" s="662"/>
      <c r="P55" s="662"/>
      <c r="Q55" s="662"/>
      <c r="R55" s="662"/>
      <c r="S55" s="662"/>
      <c r="T55" s="662"/>
      <c r="U55" s="662"/>
      <c r="V55" s="662"/>
      <c r="W55" s="662"/>
      <c r="X55" s="662"/>
      <c r="Y55" s="663"/>
      <c r="Z55" s="672"/>
      <c r="AA55" s="673"/>
      <c r="AB55" s="673"/>
      <c r="AC55" s="674"/>
      <c r="AD55" s="675"/>
      <c r="AE55" s="676"/>
      <c r="AF55" s="676"/>
      <c r="AG55" s="440"/>
      <c r="AH55" s="440"/>
      <c r="AI55" s="440"/>
      <c r="AJ55" s="652"/>
      <c r="AK55" s="677"/>
      <c r="AL55" s="441"/>
      <c r="AM55" s="675"/>
      <c r="AN55" s="676"/>
      <c r="AO55" s="676"/>
      <c r="AP55" s="440"/>
      <c r="AQ55" s="677"/>
    </row>
    <row r="56" spans="1:43" ht="24" x14ac:dyDescent="0.25">
      <c r="A56" s="670"/>
      <c r="B56" s="671" t="s">
        <v>414</v>
      </c>
      <c r="C56" s="661"/>
      <c r="D56" s="662"/>
      <c r="E56" s="662"/>
      <c r="F56" s="662"/>
      <c r="G56" s="662"/>
      <c r="H56" s="662"/>
      <c r="I56" s="662"/>
      <c r="J56" s="662"/>
      <c r="K56" s="662"/>
      <c r="L56" s="662"/>
      <c r="M56" s="662"/>
      <c r="N56" s="663"/>
      <c r="O56" s="662"/>
      <c r="P56" s="662"/>
      <c r="Q56" s="662"/>
      <c r="R56" s="662"/>
      <c r="S56" s="662"/>
      <c r="T56" s="662"/>
      <c r="U56" s="662"/>
      <c r="V56" s="662"/>
      <c r="W56" s="662"/>
      <c r="X56" s="662"/>
      <c r="Y56" s="663"/>
      <c r="Z56" s="672"/>
      <c r="AA56" s="673"/>
      <c r="AB56" s="673"/>
      <c r="AC56" s="674"/>
      <c r="AD56" s="675"/>
      <c r="AE56" s="676"/>
      <c r="AF56" s="676"/>
      <c r="AG56" s="440"/>
      <c r="AH56" s="440"/>
      <c r="AI56" s="440"/>
      <c r="AJ56" s="652"/>
      <c r="AK56" s="677"/>
      <c r="AL56" s="441"/>
      <c r="AM56" s="675"/>
      <c r="AN56" s="676"/>
      <c r="AO56" s="676"/>
      <c r="AP56" s="440"/>
      <c r="AQ56" s="677"/>
    </row>
    <row r="57" spans="1:43" x14ac:dyDescent="0.25">
      <c r="A57" s="670"/>
      <c r="B57" s="671" t="s">
        <v>415</v>
      </c>
      <c r="C57" s="661"/>
      <c r="D57" s="662"/>
      <c r="E57" s="662"/>
      <c r="F57" s="662"/>
      <c r="G57" s="662"/>
      <c r="H57" s="662"/>
      <c r="I57" s="662"/>
      <c r="J57" s="662"/>
      <c r="K57" s="662"/>
      <c r="L57" s="662"/>
      <c r="M57" s="662"/>
      <c r="N57" s="663"/>
      <c r="O57" s="662"/>
      <c r="P57" s="662"/>
      <c r="Q57" s="662"/>
      <c r="R57" s="662"/>
      <c r="S57" s="662"/>
      <c r="T57" s="662"/>
      <c r="U57" s="662"/>
      <c r="V57" s="662"/>
      <c r="W57" s="662"/>
      <c r="X57" s="662"/>
      <c r="Y57" s="663"/>
      <c r="Z57" s="672"/>
      <c r="AA57" s="673"/>
      <c r="AB57" s="673"/>
      <c r="AC57" s="674"/>
      <c r="AD57" s="675"/>
      <c r="AE57" s="676"/>
      <c r="AF57" s="676"/>
      <c r="AG57" s="440"/>
      <c r="AH57" s="440"/>
      <c r="AI57" s="440"/>
      <c r="AJ57" s="652"/>
      <c r="AK57" s="677"/>
      <c r="AL57" s="441"/>
      <c r="AM57" s="675"/>
      <c r="AN57" s="676"/>
      <c r="AO57" s="676"/>
      <c r="AP57" s="440"/>
      <c r="AQ57" s="677"/>
    </row>
    <row r="58" spans="1:43" ht="24" x14ac:dyDescent="0.25">
      <c r="A58" s="670"/>
      <c r="B58" s="671" t="s">
        <v>416</v>
      </c>
      <c r="C58" s="661"/>
      <c r="D58" s="662"/>
      <c r="E58" s="662"/>
      <c r="F58" s="662"/>
      <c r="G58" s="662"/>
      <c r="H58" s="662"/>
      <c r="I58" s="662"/>
      <c r="J58" s="662"/>
      <c r="K58" s="662"/>
      <c r="L58" s="662"/>
      <c r="M58" s="662"/>
      <c r="N58" s="663"/>
      <c r="O58" s="662"/>
      <c r="P58" s="662"/>
      <c r="Q58" s="662"/>
      <c r="R58" s="662"/>
      <c r="S58" s="662"/>
      <c r="T58" s="662"/>
      <c r="U58" s="662"/>
      <c r="V58" s="662"/>
      <c r="W58" s="662"/>
      <c r="X58" s="662"/>
      <c r="Y58" s="663"/>
      <c r="Z58" s="672"/>
      <c r="AA58" s="673"/>
      <c r="AB58" s="673"/>
      <c r="AC58" s="674"/>
      <c r="AD58" s="675"/>
      <c r="AE58" s="676"/>
      <c r="AF58" s="676"/>
      <c r="AG58" s="440"/>
      <c r="AH58" s="440"/>
      <c r="AI58" s="440"/>
      <c r="AJ58" s="652"/>
      <c r="AK58" s="677"/>
      <c r="AL58" s="441"/>
      <c r="AM58" s="675"/>
      <c r="AN58" s="676"/>
      <c r="AO58" s="676"/>
      <c r="AP58" s="440"/>
      <c r="AQ58" s="677"/>
    </row>
    <row r="59" spans="1:43" ht="24" x14ac:dyDescent="0.25">
      <c r="A59" s="670"/>
      <c r="B59" s="671" t="s">
        <v>436</v>
      </c>
      <c r="C59" s="661"/>
      <c r="D59" s="662"/>
      <c r="E59" s="662"/>
      <c r="F59" s="662"/>
      <c r="G59" s="662"/>
      <c r="H59" s="662"/>
      <c r="I59" s="662"/>
      <c r="J59" s="662"/>
      <c r="K59" s="662"/>
      <c r="L59" s="662"/>
      <c r="M59" s="662"/>
      <c r="N59" s="663"/>
      <c r="O59" s="662"/>
      <c r="P59" s="662"/>
      <c r="Q59" s="662"/>
      <c r="R59" s="662"/>
      <c r="S59" s="662"/>
      <c r="T59" s="662"/>
      <c r="U59" s="662"/>
      <c r="V59" s="662"/>
      <c r="W59" s="662"/>
      <c r="X59" s="662"/>
      <c r="Y59" s="663"/>
      <c r="Z59" s="672"/>
      <c r="AA59" s="673"/>
      <c r="AB59" s="673"/>
      <c r="AC59" s="674"/>
      <c r="AD59" s="675"/>
      <c r="AE59" s="676"/>
      <c r="AF59" s="676"/>
      <c r="AG59" s="440"/>
      <c r="AH59" s="440"/>
      <c r="AI59" s="440"/>
      <c r="AJ59" s="652"/>
      <c r="AK59" s="677"/>
      <c r="AL59" s="441"/>
      <c r="AM59" s="675"/>
      <c r="AN59" s="676"/>
      <c r="AO59" s="676"/>
      <c r="AP59" s="440"/>
      <c r="AQ59" s="677"/>
    </row>
    <row r="60" spans="1:43" x14ac:dyDescent="0.25">
      <c r="A60" s="670"/>
      <c r="B60" s="671" t="s">
        <v>419</v>
      </c>
      <c r="C60" s="661"/>
      <c r="D60" s="662"/>
      <c r="E60" s="662"/>
      <c r="F60" s="662"/>
      <c r="G60" s="662"/>
      <c r="H60" s="662"/>
      <c r="I60" s="662"/>
      <c r="J60" s="662"/>
      <c r="K60" s="662"/>
      <c r="L60" s="662"/>
      <c r="M60" s="662"/>
      <c r="N60" s="663"/>
      <c r="O60" s="662"/>
      <c r="P60" s="662"/>
      <c r="Q60" s="662"/>
      <c r="R60" s="662"/>
      <c r="S60" s="662"/>
      <c r="T60" s="662"/>
      <c r="U60" s="662"/>
      <c r="V60" s="662"/>
      <c r="W60" s="662"/>
      <c r="X60" s="662"/>
      <c r="Y60" s="663"/>
      <c r="Z60" s="672"/>
      <c r="AA60" s="673"/>
      <c r="AB60" s="673"/>
      <c r="AC60" s="674"/>
      <c r="AD60" s="675"/>
      <c r="AE60" s="676"/>
      <c r="AF60" s="676"/>
      <c r="AG60" s="440"/>
      <c r="AH60" s="440"/>
      <c r="AI60" s="440"/>
      <c r="AJ60" s="652"/>
      <c r="AK60" s="677"/>
      <c r="AL60" s="441"/>
      <c r="AM60" s="675"/>
      <c r="AN60" s="676"/>
      <c r="AO60" s="676"/>
      <c r="AP60" s="440"/>
      <c r="AQ60" s="677"/>
    </row>
    <row r="61" spans="1:43" x14ac:dyDescent="0.25">
      <c r="A61" s="670"/>
      <c r="B61" s="671" t="s">
        <v>420</v>
      </c>
      <c r="C61" s="661"/>
      <c r="D61" s="662"/>
      <c r="E61" s="662"/>
      <c r="F61" s="662"/>
      <c r="G61" s="662"/>
      <c r="H61" s="662"/>
      <c r="I61" s="662"/>
      <c r="J61" s="662"/>
      <c r="K61" s="662"/>
      <c r="L61" s="662"/>
      <c r="M61" s="662"/>
      <c r="N61" s="663"/>
      <c r="O61" s="662"/>
      <c r="P61" s="662"/>
      <c r="Q61" s="662"/>
      <c r="R61" s="662"/>
      <c r="S61" s="662"/>
      <c r="T61" s="662"/>
      <c r="U61" s="662"/>
      <c r="V61" s="662"/>
      <c r="W61" s="662"/>
      <c r="X61" s="662"/>
      <c r="Y61" s="663"/>
      <c r="Z61" s="672"/>
      <c r="AA61" s="673"/>
      <c r="AB61" s="673"/>
      <c r="AC61" s="674"/>
      <c r="AD61" s="675"/>
      <c r="AE61" s="676"/>
      <c r="AF61" s="676"/>
      <c r="AG61" s="440"/>
      <c r="AH61" s="440"/>
      <c r="AI61" s="440"/>
      <c r="AJ61" s="652"/>
      <c r="AK61" s="677"/>
      <c r="AL61" s="441"/>
      <c r="AM61" s="675"/>
      <c r="AN61" s="676"/>
      <c r="AO61" s="676"/>
      <c r="AP61" s="440"/>
      <c r="AQ61" s="677"/>
    </row>
    <row r="62" spans="1:43" x14ac:dyDescent="0.25">
      <c r="A62" s="670"/>
      <c r="B62" s="671" t="s">
        <v>421</v>
      </c>
      <c r="C62" s="661"/>
      <c r="D62" s="662"/>
      <c r="E62" s="662"/>
      <c r="F62" s="662"/>
      <c r="G62" s="662"/>
      <c r="H62" s="662"/>
      <c r="I62" s="662"/>
      <c r="J62" s="662"/>
      <c r="K62" s="662"/>
      <c r="L62" s="662"/>
      <c r="M62" s="662"/>
      <c r="N62" s="663"/>
      <c r="O62" s="662"/>
      <c r="P62" s="662"/>
      <c r="Q62" s="662"/>
      <c r="R62" s="662"/>
      <c r="S62" s="662"/>
      <c r="T62" s="662"/>
      <c r="U62" s="662"/>
      <c r="V62" s="662"/>
      <c r="W62" s="662"/>
      <c r="X62" s="662"/>
      <c r="Y62" s="663"/>
      <c r="Z62" s="672"/>
      <c r="AA62" s="673"/>
      <c r="AB62" s="673"/>
      <c r="AC62" s="674"/>
      <c r="AD62" s="675"/>
      <c r="AE62" s="676"/>
      <c r="AF62" s="676"/>
      <c r="AG62" s="440"/>
      <c r="AH62" s="440"/>
      <c r="AI62" s="440"/>
      <c r="AJ62" s="652"/>
      <c r="AK62" s="677"/>
      <c r="AL62" s="441"/>
      <c r="AM62" s="675"/>
      <c r="AN62" s="676"/>
      <c r="AO62" s="676"/>
      <c r="AP62" s="440"/>
      <c r="AQ62" s="677"/>
    </row>
    <row r="63" spans="1:43" x14ac:dyDescent="0.25">
      <c r="A63" s="670"/>
      <c r="B63" s="671" t="s">
        <v>422</v>
      </c>
      <c r="C63" s="661"/>
      <c r="D63" s="662"/>
      <c r="E63" s="662"/>
      <c r="F63" s="662"/>
      <c r="G63" s="662"/>
      <c r="H63" s="662"/>
      <c r="I63" s="662"/>
      <c r="J63" s="662"/>
      <c r="K63" s="662"/>
      <c r="L63" s="662"/>
      <c r="M63" s="662"/>
      <c r="N63" s="663"/>
      <c r="O63" s="662"/>
      <c r="P63" s="662"/>
      <c r="Q63" s="662"/>
      <c r="R63" s="662"/>
      <c r="S63" s="662"/>
      <c r="T63" s="662"/>
      <c r="U63" s="662"/>
      <c r="V63" s="662"/>
      <c r="W63" s="662"/>
      <c r="X63" s="662"/>
      <c r="Y63" s="663"/>
      <c r="Z63" s="672"/>
      <c r="AA63" s="673"/>
      <c r="AB63" s="673"/>
      <c r="AC63" s="674"/>
      <c r="AD63" s="675"/>
      <c r="AE63" s="676"/>
      <c r="AF63" s="676"/>
      <c r="AG63" s="440"/>
      <c r="AH63" s="440"/>
      <c r="AI63" s="440"/>
      <c r="AJ63" s="652"/>
      <c r="AK63" s="677"/>
      <c r="AL63" s="441"/>
      <c r="AM63" s="675"/>
      <c r="AN63" s="676"/>
      <c r="AO63" s="676"/>
      <c r="AP63" s="440"/>
      <c r="AQ63" s="677"/>
    </row>
    <row r="64" spans="1:43" x14ac:dyDescent="0.25">
      <c r="A64" s="670"/>
      <c r="B64" s="671" t="s">
        <v>423</v>
      </c>
      <c r="C64" s="661"/>
      <c r="D64" s="662"/>
      <c r="E64" s="662"/>
      <c r="F64" s="662"/>
      <c r="G64" s="662"/>
      <c r="H64" s="662"/>
      <c r="I64" s="662"/>
      <c r="J64" s="662"/>
      <c r="K64" s="662"/>
      <c r="L64" s="662"/>
      <c r="M64" s="662"/>
      <c r="N64" s="663"/>
      <c r="O64" s="662"/>
      <c r="P64" s="662"/>
      <c r="Q64" s="662"/>
      <c r="R64" s="662"/>
      <c r="S64" s="662"/>
      <c r="T64" s="662"/>
      <c r="U64" s="662"/>
      <c r="V64" s="662"/>
      <c r="W64" s="662"/>
      <c r="X64" s="662"/>
      <c r="Y64" s="663"/>
      <c r="Z64" s="672"/>
      <c r="AA64" s="673"/>
      <c r="AB64" s="673"/>
      <c r="AC64" s="674"/>
      <c r="AD64" s="675"/>
      <c r="AE64" s="676"/>
      <c r="AF64" s="676"/>
      <c r="AG64" s="440"/>
      <c r="AH64" s="440"/>
      <c r="AI64" s="440"/>
      <c r="AJ64" s="652"/>
      <c r="AK64" s="677"/>
      <c r="AL64" s="441"/>
      <c r="AM64" s="675"/>
      <c r="AN64" s="676"/>
      <c r="AO64" s="676"/>
      <c r="AP64" s="440"/>
      <c r="AQ64" s="677"/>
    </row>
    <row r="65" spans="1:43" x14ac:dyDescent="0.25">
      <c r="A65" s="670"/>
      <c r="B65" s="671" t="s">
        <v>424</v>
      </c>
      <c r="C65" s="661"/>
      <c r="D65" s="662"/>
      <c r="E65" s="662"/>
      <c r="F65" s="662"/>
      <c r="G65" s="662"/>
      <c r="H65" s="662"/>
      <c r="I65" s="662"/>
      <c r="J65" s="662"/>
      <c r="K65" s="662"/>
      <c r="L65" s="662"/>
      <c r="M65" s="662"/>
      <c r="N65" s="663"/>
      <c r="O65" s="662"/>
      <c r="P65" s="662"/>
      <c r="Q65" s="662"/>
      <c r="R65" s="662"/>
      <c r="S65" s="662"/>
      <c r="T65" s="662"/>
      <c r="U65" s="662"/>
      <c r="V65" s="662"/>
      <c r="W65" s="662"/>
      <c r="X65" s="662"/>
      <c r="Y65" s="663"/>
      <c r="Z65" s="672"/>
      <c r="AA65" s="673"/>
      <c r="AB65" s="673"/>
      <c r="AC65" s="674"/>
      <c r="AD65" s="675"/>
      <c r="AE65" s="676"/>
      <c r="AF65" s="676"/>
      <c r="AG65" s="440"/>
      <c r="AH65" s="440"/>
      <c r="AI65" s="440"/>
      <c r="AJ65" s="652"/>
      <c r="AK65" s="677"/>
      <c r="AL65" s="441"/>
      <c r="AM65" s="675"/>
      <c r="AN65" s="676"/>
      <c r="AO65" s="676"/>
      <c r="AP65" s="440"/>
      <c r="AQ65" s="677"/>
    </row>
    <row r="66" spans="1:43" x14ac:dyDescent="0.25">
      <c r="A66" s="670"/>
      <c r="B66" s="671" t="s">
        <v>481</v>
      </c>
      <c r="C66" s="661"/>
      <c r="D66" s="662"/>
      <c r="E66" s="662"/>
      <c r="F66" s="662"/>
      <c r="G66" s="662"/>
      <c r="H66" s="662"/>
      <c r="I66" s="662"/>
      <c r="J66" s="662"/>
      <c r="K66" s="662"/>
      <c r="L66" s="662"/>
      <c r="M66" s="662"/>
      <c r="N66" s="663"/>
      <c r="O66" s="662"/>
      <c r="P66" s="662"/>
      <c r="Q66" s="662"/>
      <c r="R66" s="662"/>
      <c r="S66" s="662"/>
      <c r="T66" s="662"/>
      <c r="U66" s="662"/>
      <c r="V66" s="662"/>
      <c r="W66" s="662"/>
      <c r="X66" s="662"/>
      <c r="Y66" s="663"/>
      <c r="Z66" s="672"/>
      <c r="AA66" s="673"/>
      <c r="AB66" s="673"/>
      <c r="AC66" s="674"/>
      <c r="AD66" s="675"/>
      <c r="AE66" s="676"/>
      <c r="AF66" s="676"/>
      <c r="AG66" s="440"/>
      <c r="AH66" s="440"/>
      <c r="AI66" s="440"/>
      <c r="AJ66" s="652"/>
      <c r="AK66" s="677"/>
      <c r="AL66" s="441"/>
      <c r="AM66" s="675"/>
      <c r="AN66" s="676"/>
      <c r="AO66" s="676"/>
      <c r="AP66" s="440"/>
      <c r="AQ66" s="677"/>
    </row>
    <row r="67" spans="1:43" x14ac:dyDescent="0.25">
      <c r="A67" s="670"/>
      <c r="B67" s="671" t="s">
        <v>486</v>
      </c>
      <c r="C67" s="661"/>
      <c r="D67" s="662"/>
      <c r="E67" s="662"/>
      <c r="F67" s="662"/>
      <c r="G67" s="662"/>
      <c r="H67" s="662"/>
      <c r="I67" s="662"/>
      <c r="J67" s="662"/>
      <c r="K67" s="662"/>
      <c r="L67" s="662"/>
      <c r="M67" s="662"/>
      <c r="N67" s="663"/>
      <c r="O67" s="662"/>
      <c r="P67" s="662"/>
      <c r="Q67" s="662"/>
      <c r="R67" s="662"/>
      <c r="S67" s="662"/>
      <c r="T67" s="662"/>
      <c r="U67" s="662"/>
      <c r="V67" s="662"/>
      <c r="W67" s="662"/>
      <c r="X67" s="662"/>
      <c r="Y67" s="663"/>
      <c r="Z67" s="672"/>
      <c r="AA67" s="673"/>
      <c r="AB67" s="673"/>
      <c r="AC67" s="674"/>
      <c r="AD67" s="675"/>
      <c r="AE67" s="676"/>
      <c r="AF67" s="676"/>
      <c r="AG67" s="440"/>
      <c r="AH67" s="440"/>
      <c r="AI67" s="440"/>
      <c r="AJ67" s="652"/>
      <c r="AK67" s="677"/>
      <c r="AL67" s="441"/>
      <c r="AM67" s="675"/>
      <c r="AN67" s="676"/>
      <c r="AO67" s="676"/>
      <c r="AP67" s="440"/>
      <c r="AQ67" s="677"/>
    </row>
    <row r="68" spans="1:43" ht="24" x14ac:dyDescent="0.25">
      <c r="A68" s="670"/>
      <c r="B68" s="671" t="s">
        <v>482</v>
      </c>
      <c r="C68" s="661"/>
      <c r="D68" s="662"/>
      <c r="E68" s="662"/>
      <c r="F68" s="662"/>
      <c r="G68" s="662"/>
      <c r="H68" s="662"/>
      <c r="I68" s="662"/>
      <c r="J68" s="662"/>
      <c r="K68" s="662"/>
      <c r="L68" s="662"/>
      <c r="M68" s="662"/>
      <c r="N68" s="663"/>
      <c r="O68" s="662"/>
      <c r="P68" s="662"/>
      <c r="Q68" s="662"/>
      <c r="R68" s="662"/>
      <c r="S68" s="662"/>
      <c r="T68" s="662"/>
      <c r="U68" s="662"/>
      <c r="V68" s="662"/>
      <c r="W68" s="662"/>
      <c r="X68" s="662"/>
      <c r="Y68" s="663"/>
      <c r="Z68" s="672"/>
      <c r="AA68" s="673"/>
      <c r="AB68" s="673"/>
      <c r="AC68" s="674"/>
      <c r="AD68" s="675"/>
      <c r="AE68" s="676"/>
      <c r="AF68" s="676"/>
      <c r="AG68" s="440"/>
      <c r="AH68" s="440"/>
      <c r="AI68" s="440"/>
      <c r="AJ68" s="652"/>
      <c r="AK68" s="677"/>
      <c r="AL68" s="441"/>
      <c r="AM68" s="675"/>
      <c r="AN68" s="676"/>
      <c r="AO68" s="676"/>
      <c r="AP68" s="440"/>
      <c r="AQ68" s="677"/>
    </row>
    <row r="69" spans="1:43" x14ac:dyDescent="0.25">
      <c r="A69" s="670"/>
      <c r="B69" s="671" t="s">
        <v>487</v>
      </c>
      <c r="C69" s="661"/>
      <c r="D69" s="662"/>
      <c r="E69" s="662"/>
      <c r="F69" s="662"/>
      <c r="G69" s="662"/>
      <c r="H69" s="662"/>
      <c r="I69" s="662"/>
      <c r="J69" s="662"/>
      <c r="K69" s="662"/>
      <c r="L69" s="662"/>
      <c r="M69" s="662"/>
      <c r="N69" s="663"/>
      <c r="O69" s="662"/>
      <c r="P69" s="662"/>
      <c r="Q69" s="662"/>
      <c r="R69" s="662"/>
      <c r="S69" s="662"/>
      <c r="T69" s="662"/>
      <c r="U69" s="662"/>
      <c r="V69" s="662"/>
      <c r="W69" s="662"/>
      <c r="X69" s="662"/>
      <c r="Y69" s="663"/>
      <c r="Z69" s="672"/>
      <c r="AA69" s="673"/>
      <c r="AB69" s="673"/>
      <c r="AC69" s="674"/>
      <c r="AD69" s="675"/>
      <c r="AE69" s="676"/>
      <c r="AF69" s="676"/>
      <c r="AG69" s="440"/>
      <c r="AH69" s="440"/>
      <c r="AI69" s="440"/>
      <c r="AJ69" s="652"/>
      <c r="AK69" s="677"/>
      <c r="AL69" s="441"/>
      <c r="AM69" s="675"/>
      <c r="AN69" s="676"/>
      <c r="AO69" s="676"/>
      <c r="AP69" s="440"/>
      <c r="AQ69" s="677"/>
    </row>
    <row r="70" spans="1:43" x14ac:dyDescent="0.25">
      <c r="A70" s="670"/>
      <c r="B70" s="671" t="s">
        <v>483</v>
      </c>
      <c r="C70" s="661"/>
      <c r="D70" s="662"/>
      <c r="E70" s="662"/>
      <c r="F70" s="662"/>
      <c r="G70" s="662"/>
      <c r="H70" s="662"/>
      <c r="I70" s="662"/>
      <c r="J70" s="662"/>
      <c r="K70" s="662"/>
      <c r="L70" s="662"/>
      <c r="M70" s="662"/>
      <c r="N70" s="663"/>
      <c r="O70" s="662"/>
      <c r="P70" s="662"/>
      <c r="Q70" s="662"/>
      <c r="R70" s="662"/>
      <c r="S70" s="662"/>
      <c r="T70" s="662"/>
      <c r="U70" s="662"/>
      <c r="V70" s="662"/>
      <c r="W70" s="662"/>
      <c r="X70" s="662"/>
      <c r="Y70" s="663"/>
      <c r="Z70" s="672"/>
      <c r="AA70" s="673"/>
      <c r="AB70" s="673"/>
      <c r="AC70" s="674"/>
      <c r="AD70" s="675"/>
      <c r="AE70" s="676"/>
      <c r="AF70" s="676"/>
      <c r="AG70" s="440"/>
      <c r="AH70" s="440"/>
      <c r="AI70" s="440"/>
      <c r="AJ70" s="652"/>
      <c r="AK70" s="677"/>
      <c r="AL70" s="441"/>
      <c r="AM70" s="675"/>
      <c r="AN70" s="676"/>
      <c r="AO70" s="676"/>
      <c r="AP70" s="440"/>
      <c r="AQ70" s="677"/>
    </row>
    <row r="71" spans="1:43" ht="39.6" customHeight="1" x14ac:dyDescent="0.25">
      <c r="A71" s="670"/>
      <c r="B71" s="671" t="s">
        <v>484</v>
      </c>
      <c r="C71" s="661"/>
      <c r="D71" s="662"/>
      <c r="E71" s="662"/>
      <c r="F71" s="662"/>
      <c r="G71" s="662"/>
      <c r="H71" s="662"/>
      <c r="I71" s="662"/>
      <c r="J71" s="662"/>
      <c r="K71" s="662"/>
      <c r="L71" s="662"/>
      <c r="M71" s="662"/>
      <c r="N71" s="663"/>
      <c r="O71" s="662"/>
      <c r="P71" s="662"/>
      <c r="Q71" s="662"/>
      <c r="R71" s="662"/>
      <c r="S71" s="662"/>
      <c r="T71" s="662"/>
      <c r="U71" s="662"/>
      <c r="V71" s="662"/>
      <c r="W71" s="662"/>
      <c r="X71" s="662"/>
      <c r="Y71" s="663"/>
      <c r="Z71" s="672"/>
      <c r="AA71" s="673"/>
      <c r="AB71" s="673"/>
      <c r="AC71" s="674"/>
      <c r="AD71" s="675"/>
      <c r="AE71" s="676"/>
      <c r="AF71" s="676"/>
      <c r="AG71" s="440"/>
      <c r="AH71" s="440"/>
      <c r="AI71" s="440"/>
      <c r="AJ71" s="652"/>
      <c r="AK71" s="677"/>
      <c r="AL71" s="441"/>
      <c r="AM71" s="675"/>
      <c r="AN71" s="676"/>
      <c r="AO71" s="676"/>
      <c r="AP71" s="440"/>
      <c r="AQ71" s="677"/>
    </row>
    <row r="72" spans="1:43" ht="24" x14ac:dyDescent="0.25">
      <c r="A72" s="678"/>
      <c r="B72" s="679" t="s">
        <v>425</v>
      </c>
      <c r="C72" s="249"/>
      <c r="D72" s="250"/>
      <c r="E72" s="250"/>
      <c r="F72" s="250"/>
      <c r="G72" s="250"/>
      <c r="H72" s="250"/>
      <c r="I72" s="250"/>
      <c r="J72" s="250"/>
      <c r="K72" s="250"/>
      <c r="L72" s="250"/>
      <c r="M72" s="250"/>
      <c r="N72" s="251"/>
      <c r="O72" s="250"/>
      <c r="P72" s="250"/>
      <c r="Q72" s="250"/>
      <c r="R72" s="250"/>
      <c r="S72" s="250"/>
      <c r="T72" s="250"/>
      <c r="U72" s="250"/>
      <c r="V72" s="250"/>
      <c r="W72" s="250"/>
      <c r="X72" s="250"/>
      <c r="Y72" s="251"/>
      <c r="Z72" s="655"/>
      <c r="AA72" s="656"/>
      <c r="AB72" s="656"/>
      <c r="AC72" s="657"/>
      <c r="AD72" s="680"/>
      <c r="AE72" s="681"/>
      <c r="AF72" s="681"/>
      <c r="AG72" s="440"/>
      <c r="AH72" s="440"/>
      <c r="AI72" s="440"/>
      <c r="AJ72" s="652"/>
      <c r="AK72" s="658"/>
      <c r="AL72" s="441"/>
      <c r="AM72" s="680"/>
      <c r="AN72" s="681"/>
      <c r="AO72" s="681"/>
      <c r="AP72" s="440"/>
      <c r="AQ72" s="658"/>
    </row>
    <row r="73" spans="1:43" ht="15" customHeight="1" x14ac:dyDescent="0.25">
      <c r="A73" s="659" t="str">
        <f>'Rozpočet - vývoj Aplikácií'!$C$60</f>
        <v>2. Mobilný Agendový informačný systém KSED</v>
      </c>
      <c r="B73" s="660" t="s">
        <v>402</v>
      </c>
      <c r="C73" s="683"/>
      <c r="D73" s="684"/>
      <c r="E73" s="684"/>
      <c r="F73" s="684"/>
      <c r="G73" s="684"/>
      <c r="H73" s="684"/>
      <c r="I73" s="684"/>
      <c r="J73" s="684"/>
      <c r="K73" s="684"/>
      <c r="L73" s="684"/>
      <c r="M73" s="684"/>
      <c r="N73" s="685"/>
      <c r="O73" s="684"/>
      <c r="P73" s="684"/>
      <c r="Q73" s="684"/>
      <c r="R73" s="684"/>
      <c r="S73" s="684"/>
      <c r="T73" s="684"/>
      <c r="U73" s="684"/>
      <c r="V73" s="684"/>
      <c r="W73" s="684"/>
      <c r="X73" s="684"/>
      <c r="Y73" s="685"/>
      <c r="Z73" s="686"/>
      <c r="AA73" s="687"/>
      <c r="AB73" s="687"/>
      <c r="AC73" s="688"/>
      <c r="AD73" s="667"/>
      <c r="AE73" s="668"/>
      <c r="AF73" s="668"/>
      <c r="AG73" s="440">
        <f t="shared" si="0"/>
        <v>0</v>
      </c>
      <c r="AH73" s="440">
        <f t="shared" si="1"/>
        <v>0</v>
      </c>
      <c r="AI73" s="440">
        <f t="shared" si="2"/>
        <v>0</v>
      </c>
      <c r="AJ73" s="652"/>
      <c r="AK73" s="689"/>
      <c r="AL73" s="667"/>
      <c r="AM73" s="667"/>
      <c r="AN73" s="668"/>
      <c r="AO73" s="668"/>
      <c r="AP73" s="440">
        <f t="shared" si="3"/>
        <v>0</v>
      </c>
      <c r="AQ73" s="689"/>
    </row>
    <row r="74" spans="1:43" ht="48" x14ac:dyDescent="0.25">
      <c r="A74" s="670"/>
      <c r="B74" s="671" t="s">
        <v>485</v>
      </c>
      <c r="C74" s="661"/>
      <c r="D74" s="662"/>
      <c r="E74" s="662"/>
      <c r="F74" s="662"/>
      <c r="G74" s="662"/>
      <c r="H74" s="662"/>
      <c r="I74" s="662"/>
      <c r="J74" s="662"/>
      <c r="K74" s="662"/>
      <c r="L74" s="662"/>
      <c r="M74" s="662"/>
      <c r="N74" s="663"/>
      <c r="O74" s="662"/>
      <c r="P74" s="662"/>
      <c r="Q74" s="662"/>
      <c r="R74" s="662"/>
      <c r="S74" s="662"/>
      <c r="T74" s="662"/>
      <c r="U74" s="662"/>
      <c r="V74" s="662"/>
      <c r="W74" s="662"/>
      <c r="X74" s="662"/>
      <c r="Y74" s="663"/>
      <c r="Z74" s="672"/>
      <c r="AA74" s="673"/>
      <c r="AB74" s="673"/>
      <c r="AC74" s="674"/>
      <c r="AD74" s="675"/>
      <c r="AE74" s="676"/>
      <c r="AF74" s="676"/>
      <c r="AG74" s="440"/>
      <c r="AH74" s="440"/>
      <c r="AI74" s="440"/>
      <c r="AJ74" s="652"/>
      <c r="AK74" s="677"/>
      <c r="AL74" s="675"/>
      <c r="AM74" s="675"/>
      <c r="AN74" s="676"/>
      <c r="AO74" s="676"/>
      <c r="AP74" s="440"/>
      <c r="AQ74" s="677"/>
    </row>
    <row r="75" spans="1:43" ht="48" x14ac:dyDescent="0.25">
      <c r="A75" s="678"/>
      <c r="B75" s="679" t="s">
        <v>403</v>
      </c>
      <c r="C75" s="249"/>
      <c r="D75" s="250"/>
      <c r="E75" s="250"/>
      <c r="F75" s="250"/>
      <c r="G75" s="250"/>
      <c r="H75" s="250"/>
      <c r="I75" s="250"/>
      <c r="J75" s="250"/>
      <c r="K75" s="250"/>
      <c r="L75" s="250"/>
      <c r="M75" s="250"/>
      <c r="N75" s="251"/>
      <c r="O75" s="250"/>
      <c r="P75" s="250"/>
      <c r="Q75" s="250"/>
      <c r="R75" s="250"/>
      <c r="S75" s="250"/>
      <c r="T75" s="250"/>
      <c r="U75" s="250"/>
      <c r="V75" s="250"/>
      <c r="W75" s="250"/>
      <c r="X75" s="250"/>
      <c r="Y75" s="251"/>
      <c r="Z75" s="655"/>
      <c r="AA75" s="656"/>
      <c r="AB75" s="656"/>
      <c r="AC75" s="657"/>
      <c r="AD75" s="680"/>
      <c r="AE75" s="681"/>
      <c r="AF75" s="681"/>
      <c r="AG75" s="440"/>
      <c r="AH75" s="440"/>
      <c r="AI75" s="440"/>
      <c r="AJ75" s="652"/>
      <c r="AK75" s="658"/>
      <c r="AL75" s="680"/>
      <c r="AM75" s="680"/>
      <c r="AN75" s="681"/>
      <c r="AO75" s="681"/>
      <c r="AP75" s="440"/>
      <c r="AQ75" s="658"/>
    </row>
    <row r="76" spans="1:43" ht="15" customHeight="1" x14ac:dyDescent="0.25">
      <c r="A76" s="659" t="str">
        <f>'Rozpočet - vývoj Aplikácií'!$C$66</f>
        <v>3. Verejný portál KSED</v>
      </c>
      <c r="B76" s="660" t="s">
        <v>417</v>
      </c>
      <c r="C76" s="683"/>
      <c r="D76" s="684"/>
      <c r="E76" s="684"/>
      <c r="F76" s="684"/>
      <c r="G76" s="684"/>
      <c r="H76" s="684"/>
      <c r="I76" s="684"/>
      <c r="J76" s="684"/>
      <c r="K76" s="684"/>
      <c r="L76" s="684"/>
      <c r="M76" s="684"/>
      <c r="N76" s="685"/>
      <c r="O76" s="684"/>
      <c r="P76" s="684"/>
      <c r="Q76" s="684"/>
      <c r="R76" s="684"/>
      <c r="S76" s="684"/>
      <c r="T76" s="684"/>
      <c r="U76" s="684"/>
      <c r="V76" s="684"/>
      <c r="W76" s="684"/>
      <c r="X76" s="684"/>
      <c r="Y76" s="685"/>
      <c r="Z76" s="686"/>
      <c r="AA76" s="687"/>
      <c r="AB76" s="687"/>
      <c r="AC76" s="688"/>
      <c r="AD76" s="667"/>
      <c r="AE76" s="668"/>
      <c r="AF76" s="668"/>
      <c r="AG76" s="440">
        <f t="shared" si="0"/>
        <v>0</v>
      </c>
      <c r="AH76" s="440">
        <f t="shared" si="1"/>
        <v>0</v>
      </c>
      <c r="AI76" s="440">
        <f t="shared" si="2"/>
        <v>0</v>
      </c>
      <c r="AJ76" s="652"/>
      <c r="AK76" s="689"/>
      <c r="AL76" s="667"/>
      <c r="AM76" s="667"/>
      <c r="AN76" s="668"/>
      <c r="AO76" s="668"/>
      <c r="AP76" s="440">
        <f t="shared" si="3"/>
        <v>0</v>
      </c>
      <c r="AQ76" s="689"/>
    </row>
    <row r="77" spans="1:43" ht="36" x14ac:dyDescent="0.25">
      <c r="A77" s="670"/>
      <c r="B77" s="671" t="s">
        <v>418</v>
      </c>
      <c r="C77" s="661"/>
      <c r="D77" s="662"/>
      <c r="E77" s="662"/>
      <c r="F77" s="662"/>
      <c r="G77" s="662"/>
      <c r="H77" s="662"/>
      <c r="I77" s="662"/>
      <c r="J77" s="662"/>
      <c r="K77" s="662"/>
      <c r="L77" s="662"/>
      <c r="M77" s="662"/>
      <c r="N77" s="663"/>
      <c r="O77" s="662"/>
      <c r="P77" s="662"/>
      <c r="Q77" s="662"/>
      <c r="R77" s="662"/>
      <c r="S77" s="662"/>
      <c r="T77" s="662"/>
      <c r="U77" s="662"/>
      <c r="V77" s="662"/>
      <c r="W77" s="662"/>
      <c r="X77" s="662"/>
      <c r="Y77" s="663"/>
      <c r="Z77" s="672"/>
      <c r="AA77" s="673"/>
      <c r="AB77" s="673"/>
      <c r="AC77" s="674"/>
      <c r="AD77" s="675"/>
      <c r="AE77" s="676"/>
      <c r="AF77" s="676"/>
      <c r="AG77" s="440"/>
      <c r="AH77" s="440"/>
      <c r="AI77" s="440"/>
      <c r="AJ77" s="652"/>
      <c r="AK77" s="677"/>
      <c r="AL77" s="675"/>
      <c r="AM77" s="675"/>
      <c r="AN77" s="676"/>
      <c r="AO77" s="676"/>
      <c r="AP77" s="440"/>
      <c r="AQ77" s="677"/>
    </row>
    <row r="78" spans="1:43" x14ac:dyDescent="0.25">
      <c r="A78" s="670"/>
      <c r="B78" s="671" t="s">
        <v>466</v>
      </c>
      <c r="C78" s="661"/>
      <c r="D78" s="662"/>
      <c r="E78" s="662"/>
      <c r="F78" s="662"/>
      <c r="G78" s="662"/>
      <c r="H78" s="662"/>
      <c r="I78" s="662"/>
      <c r="J78" s="662"/>
      <c r="K78" s="662"/>
      <c r="L78" s="662"/>
      <c r="M78" s="662"/>
      <c r="N78" s="663"/>
      <c r="O78" s="662"/>
      <c r="P78" s="662"/>
      <c r="Q78" s="662"/>
      <c r="R78" s="662"/>
      <c r="S78" s="662"/>
      <c r="T78" s="662"/>
      <c r="U78" s="662"/>
      <c r="V78" s="662"/>
      <c r="W78" s="662"/>
      <c r="X78" s="662"/>
      <c r="Y78" s="663"/>
      <c r="Z78" s="672"/>
      <c r="AA78" s="673"/>
      <c r="AB78" s="673"/>
      <c r="AC78" s="674"/>
      <c r="AD78" s="675"/>
      <c r="AE78" s="676"/>
      <c r="AF78" s="676"/>
      <c r="AG78" s="440"/>
      <c r="AH78" s="440"/>
      <c r="AI78" s="440"/>
      <c r="AJ78" s="652"/>
      <c r="AK78" s="677"/>
      <c r="AL78" s="675"/>
      <c r="AM78" s="675"/>
      <c r="AN78" s="676"/>
      <c r="AO78" s="676"/>
      <c r="AP78" s="440"/>
      <c r="AQ78" s="677"/>
    </row>
    <row r="79" spans="1:43" x14ac:dyDescent="0.25">
      <c r="A79" s="670"/>
      <c r="B79" s="671" t="s">
        <v>467</v>
      </c>
      <c r="C79" s="661"/>
      <c r="D79" s="662"/>
      <c r="E79" s="662"/>
      <c r="F79" s="662"/>
      <c r="G79" s="662"/>
      <c r="H79" s="662"/>
      <c r="I79" s="662"/>
      <c r="J79" s="662"/>
      <c r="K79" s="662"/>
      <c r="L79" s="662"/>
      <c r="M79" s="662"/>
      <c r="N79" s="663"/>
      <c r="O79" s="662"/>
      <c r="P79" s="662"/>
      <c r="Q79" s="662"/>
      <c r="R79" s="662"/>
      <c r="S79" s="662"/>
      <c r="T79" s="662"/>
      <c r="U79" s="662"/>
      <c r="V79" s="662"/>
      <c r="W79" s="662"/>
      <c r="X79" s="662"/>
      <c r="Y79" s="663"/>
      <c r="Z79" s="672"/>
      <c r="AA79" s="673"/>
      <c r="AB79" s="673"/>
      <c r="AC79" s="674"/>
      <c r="AD79" s="675"/>
      <c r="AE79" s="676"/>
      <c r="AF79" s="676"/>
      <c r="AG79" s="440"/>
      <c r="AH79" s="440"/>
      <c r="AI79" s="440"/>
      <c r="AJ79" s="652"/>
      <c r="AK79" s="677"/>
      <c r="AL79" s="675"/>
      <c r="AM79" s="675"/>
      <c r="AN79" s="676"/>
      <c r="AO79" s="676"/>
      <c r="AP79" s="440"/>
      <c r="AQ79" s="677"/>
    </row>
    <row r="80" spans="1:43" x14ac:dyDescent="0.25">
      <c r="A80" s="670"/>
      <c r="B80" s="671" t="s">
        <v>468</v>
      </c>
      <c r="C80" s="661"/>
      <c r="D80" s="662"/>
      <c r="E80" s="662"/>
      <c r="F80" s="662"/>
      <c r="G80" s="662"/>
      <c r="H80" s="662"/>
      <c r="I80" s="662"/>
      <c r="J80" s="662"/>
      <c r="K80" s="662"/>
      <c r="L80" s="662"/>
      <c r="M80" s="662"/>
      <c r="N80" s="663"/>
      <c r="O80" s="662"/>
      <c r="P80" s="662"/>
      <c r="Q80" s="662"/>
      <c r="R80" s="662"/>
      <c r="S80" s="662"/>
      <c r="T80" s="662"/>
      <c r="U80" s="662"/>
      <c r="V80" s="662"/>
      <c r="W80" s="662"/>
      <c r="X80" s="662"/>
      <c r="Y80" s="663"/>
      <c r="Z80" s="672"/>
      <c r="AA80" s="673"/>
      <c r="AB80" s="673"/>
      <c r="AC80" s="674"/>
      <c r="AD80" s="675"/>
      <c r="AE80" s="676"/>
      <c r="AF80" s="676"/>
      <c r="AG80" s="440"/>
      <c r="AH80" s="440"/>
      <c r="AI80" s="440"/>
      <c r="AJ80" s="652"/>
      <c r="AK80" s="677"/>
      <c r="AL80" s="675"/>
      <c r="AM80" s="675"/>
      <c r="AN80" s="676"/>
      <c r="AO80" s="676"/>
      <c r="AP80" s="440"/>
      <c r="AQ80" s="677"/>
    </row>
    <row r="81" spans="1:43" x14ac:dyDescent="0.25">
      <c r="A81" s="670"/>
      <c r="B81" s="671" t="s">
        <v>469</v>
      </c>
      <c r="C81" s="661"/>
      <c r="D81" s="662"/>
      <c r="E81" s="662"/>
      <c r="F81" s="662"/>
      <c r="G81" s="662"/>
      <c r="H81" s="662"/>
      <c r="I81" s="662"/>
      <c r="J81" s="662"/>
      <c r="K81" s="662"/>
      <c r="L81" s="662"/>
      <c r="M81" s="662"/>
      <c r="N81" s="663"/>
      <c r="O81" s="662"/>
      <c r="P81" s="662"/>
      <c r="Q81" s="662"/>
      <c r="R81" s="662"/>
      <c r="S81" s="662"/>
      <c r="T81" s="662"/>
      <c r="U81" s="662"/>
      <c r="V81" s="662"/>
      <c r="W81" s="662"/>
      <c r="X81" s="662"/>
      <c r="Y81" s="663"/>
      <c r="Z81" s="672"/>
      <c r="AA81" s="673"/>
      <c r="AB81" s="673"/>
      <c r="AC81" s="674"/>
      <c r="AD81" s="675"/>
      <c r="AE81" s="676"/>
      <c r="AF81" s="676"/>
      <c r="AG81" s="440"/>
      <c r="AH81" s="440"/>
      <c r="AI81" s="440"/>
      <c r="AJ81" s="652"/>
      <c r="AK81" s="677"/>
      <c r="AL81" s="675"/>
      <c r="AM81" s="675"/>
      <c r="AN81" s="676"/>
      <c r="AO81" s="676"/>
      <c r="AP81" s="440"/>
      <c r="AQ81" s="677"/>
    </row>
    <row r="82" spans="1:43" x14ac:dyDescent="0.25">
      <c r="A82" s="670"/>
      <c r="B82" s="671" t="s">
        <v>470</v>
      </c>
      <c r="C82" s="661"/>
      <c r="D82" s="662"/>
      <c r="E82" s="662"/>
      <c r="F82" s="662"/>
      <c r="G82" s="662"/>
      <c r="H82" s="662"/>
      <c r="I82" s="662"/>
      <c r="J82" s="662"/>
      <c r="K82" s="662"/>
      <c r="L82" s="662"/>
      <c r="M82" s="662"/>
      <c r="N82" s="663"/>
      <c r="O82" s="662"/>
      <c r="P82" s="662"/>
      <c r="Q82" s="662"/>
      <c r="R82" s="662"/>
      <c r="S82" s="662"/>
      <c r="T82" s="662"/>
      <c r="U82" s="662"/>
      <c r="V82" s="662"/>
      <c r="W82" s="662"/>
      <c r="X82" s="662"/>
      <c r="Y82" s="663"/>
      <c r="Z82" s="672"/>
      <c r="AA82" s="673"/>
      <c r="AB82" s="673"/>
      <c r="AC82" s="674"/>
      <c r="AD82" s="675"/>
      <c r="AE82" s="676"/>
      <c r="AF82" s="676"/>
      <c r="AG82" s="440"/>
      <c r="AH82" s="440"/>
      <c r="AI82" s="440"/>
      <c r="AJ82" s="652"/>
      <c r="AK82" s="677"/>
      <c r="AL82" s="675"/>
      <c r="AM82" s="675"/>
      <c r="AN82" s="676"/>
      <c r="AO82" s="676"/>
      <c r="AP82" s="440"/>
      <c r="AQ82" s="677"/>
    </row>
    <row r="83" spans="1:43" x14ac:dyDescent="0.25">
      <c r="A83" s="670"/>
      <c r="B83" s="671" t="s">
        <v>471</v>
      </c>
      <c r="C83" s="661"/>
      <c r="D83" s="662"/>
      <c r="E83" s="662"/>
      <c r="F83" s="662"/>
      <c r="G83" s="662"/>
      <c r="H83" s="662"/>
      <c r="I83" s="662"/>
      <c r="J83" s="662"/>
      <c r="K83" s="662"/>
      <c r="L83" s="662"/>
      <c r="M83" s="662"/>
      <c r="N83" s="663"/>
      <c r="O83" s="662"/>
      <c r="P83" s="662"/>
      <c r="Q83" s="662"/>
      <c r="R83" s="662"/>
      <c r="S83" s="662"/>
      <c r="T83" s="662"/>
      <c r="U83" s="662"/>
      <c r="V83" s="662"/>
      <c r="W83" s="662"/>
      <c r="X83" s="662"/>
      <c r="Y83" s="663"/>
      <c r="Z83" s="672"/>
      <c r="AA83" s="673"/>
      <c r="AB83" s="673"/>
      <c r="AC83" s="674"/>
      <c r="AD83" s="675"/>
      <c r="AE83" s="676"/>
      <c r="AF83" s="676"/>
      <c r="AG83" s="440"/>
      <c r="AH83" s="440"/>
      <c r="AI83" s="440"/>
      <c r="AJ83" s="652"/>
      <c r="AK83" s="677"/>
      <c r="AL83" s="675"/>
      <c r="AM83" s="675"/>
      <c r="AN83" s="676"/>
      <c r="AO83" s="676"/>
      <c r="AP83" s="440"/>
      <c r="AQ83" s="677"/>
    </row>
    <row r="84" spans="1:43" x14ac:dyDescent="0.25">
      <c r="A84" s="670"/>
      <c r="B84" s="671" t="s">
        <v>472</v>
      </c>
      <c r="C84" s="661"/>
      <c r="D84" s="662"/>
      <c r="E84" s="662"/>
      <c r="F84" s="662"/>
      <c r="G84" s="662"/>
      <c r="H84" s="662"/>
      <c r="I84" s="662"/>
      <c r="J84" s="662"/>
      <c r="K84" s="662"/>
      <c r="L84" s="662"/>
      <c r="M84" s="662"/>
      <c r="N84" s="663"/>
      <c r="O84" s="662"/>
      <c r="P84" s="662"/>
      <c r="Q84" s="662"/>
      <c r="R84" s="662"/>
      <c r="S84" s="662"/>
      <c r="T84" s="662"/>
      <c r="U84" s="662"/>
      <c r="V84" s="662"/>
      <c r="W84" s="662"/>
      <c r="X84" s="662"/>
      <c r="Y84" s="663"/>
      <c r="Z84" s="672"/>
      <c r="AA84" s="673"/>
      <c r="AB84" s="673"/>
      <c r="AC84" s="674"/>
      <c r="AD84" s="675"/>
      <c r="AE84" s="676"/>
      <c r="AF84" s="676"/>
      <c r="AG84" s="440"/>
      <c r="AH84" s="440"/>
      <c r="AI84" s="440"/>
      <c r="AJ84" s="652"/>
      <c r="AK84" s="677"/>
      <c r="AL84" s="675"/>
      <c r="AM84" s="675"/>
      <c r="AN84" s="676"/>
      <c r="AO84" s="676"/>
      <c r="AP84" s="440"/>
      <c r="AQ84" s="677"/>
    </row>
    <row r="85" spans="1:43" x14ac:dyDescent="0.25">
      <c r="A85" s="670"/>
      <c r="B85" s="671" t="s">
        <v>473</v>
      </c>
      <c r="C85" s="661"/>
      <c r="D85" s="662"/>
      <c r="E85" s="662"/>
      <c r="F85" s="662"/>
      <c r="G85" s="662"/>
      <c r="H85" s="662"/>
      <c r="I85" s="662"/>
      <c r="J85" s="662"/>
      <c r="K85" s="662"/>
      <c r="L85" s="662"/>
      <c r="M85" s="662"/>
      <c r="N85" s="663"/>
      <c r="O85" s="662"/>
      <c r="P85" s="662"/>
      <c r="Q85" s="662"/>
      <c r="R85" s="662"/>
      <c r="S85" s="662"/>
      <c r="T85" s="662"/>
      <c r="U85" s="662"/>
      <c r="V85" s="662"/>
      <c r="W85" s="662"/>
      <c r="X85" s="662"/>
      <c r="Y85" s="663"/>
      <c r="Z85" s="672"/>
      <c r="AA85" s="673"/>
      <c r="AB85" s="673"/>
      <c r="AC85" s="674"/>
      <c r="AD85" s="675"/>
      <c r="AE85" s="676"/>
      <c r="AF85" s="676"/>
      <c r="AG85" s="440"/>
      <c r="AH85" s="440"/>
      <c r="AI85" s="440"/>
      <c r="AJ85" s="652"/>
      <c r="AK85" s="677"/>
      <c r="AL85" s="675"/>
      <c r="AM85" s="675"/>
      <c r="AN85" s="676"/>
      <c r="AO85" s="676"/>
      <c r="AP85" s="440"/>
      <c r="AQ85" s="677"/>
    </row>
    <row r="86" spans="1:43" x14ac:dyDescent="0.25">
      <c r="A86" s="678"/>
      <c r="B86" s="679" t="s">
        <v>474</v>
      </c>
      <c r="C86" s="249"/>
      <c r="D86" s="250"/>
      <c r="E86" s="250"/>
      <c r="F86" s="250"/>
      <c r="G86" s="250"/>
      <c r="H86" s="250"/>
      <c r="I86" s="250"/>
      <c r="J86" s="250"/>
      <c r="K86" s="250"/>
      <c r="L86" s="250"/>
      <c r="M86" s="250"/>
      <c r="N86" s="251"/>
      <c r="O86" s="250"/>
      <c r="P86" s="250"/>
      <c r="Q86" s="250"/>
      <c r="R86" s="250"/>
      <c r="S86" s="250"/>
      <c r="T86" s="250"/>
      <c r="U86" s="250"/>
      <c r="V86" s="250"/>
      <c r="W86" s="250"/>
      <c r="X86" s="250"/>
      <c r="Y86" s="251"/>
      <c r="Z86" s="655"/>
      <c r="AA86" s="656"/>
      <c r="AB86" s="656"/>
      <c r="AC86" s="657"/>
      <c r="AD86" s="680"/>
      <c r="AE86" s="681"/>
      <c r="AF86" s="681"/>
      <c r="AG86" s="440"/>
      <c r="AH86" s="440"/>
      <c r="AI86" s="440"/>
      <c r="AJ86" s="652"/>
      <c r="AK86" s="658"/>
      <c r="AL86" s="680"/>
      <c r="AM86" s="680"/>
      <c r="AN86" s="681"/>
      <c r="AO86" s="681"/>
      <c r="AP86" s="440"/>
      <c r="AQ86" s="658"/>
    </row>
    <row r="87" spans="1:43" ht="96" x14ac:dyDescent="0.25">
      <c r="A87" s="211" t="str">
        <f>'Rozpočet - vývoj Aplikácií'!$C$73</f>
        <v>4. Mobilná aplikácia Podnety</v>
      </c>
      <c r="B87" s="654" t="s">
        <v>437</v>
      </c>
      <c r="C87" s="252"/>
      <c r="D87" s="253"/>
      <c r="E87" s="253"/>
      <c r="F87" s="253"/>
      <c r="G87" s="253"/>
      <c r="H87" s="253"/>
      <c r="I87" s="253"/>
      <c r="J87" s="253"/>
      <c r="K87" s="253"/>
      <c r="L87" s="253"/>
      <c r="M87" s="253"/>
      <c r="N87" s="254"/>
      <c r="O87" s="253"/>
      <c r="P87" s="253"/>
      <c r="Q87" s="253"/>
      <c r="R87" s="253"/>
      <c r="S87" s="253"/>
      <c r="T87" s="253"/>
      <c r="U87" s="253"/>
      <c r="V87" s="253"/>
      <c r="W87" s="253"/>
      <c r="X87" s="253"/>
      <c r="Y87" s="254"/>
      <c r="Z87" s="478"/>
      <c r="AA87" s="479"/>
      <c r="AB87" s="479"/>
      <c r="AC87" s="480"/>
      <c r="AD87" s="442"/>
      <c r="AE87" s="224"/>
      <c r="AF87" s="224"/>
      <c r="AG87" s="440">
        <f t="shared" si="0"/>
        <v>0</v>
      </c>
      <c r="AH87" s="440">
        <f t="shared" si="1"/>
        <v>0</v>
      </c>
      <c r="AI87" s="440">
        <f t="shared" si="2"/>
        <v>0</v>
      </c>
      <c r="AJ87" s="652"/>
      <c r="AK87" s="444"/>
      <c r="AL87" s="442"/>
      <c r="AM87" s="442"/>
      <c r="AN87" s="224"/>
      <c r="AO87" s="224"/>
      <c r="AP87" s="440">
        <f t="shared" si="3"/>
        <v>0</v>
      </c>
      <c r="AQ87" s="444"/>
    </row>
    <row r="88" spans="1:43" ht="24" x14ac:dyDescent="0.25">
      <c r="A88" s="659" t="str">
        <f>'Rozpočet - vývoj Aplikácií'!$C$79</f>
        <v>5. Integračné rozhrania a spoločné funkcionality</v>
      </c>
      <c r="B88" s="660" t="s">
        <v>438</v>
      </c>
      <c r="C88" s="683"/>
      <c r="D88" s="684"/>
      <c r="E88" s="684"/>
      <c r="F88" s="684"/>
      <c r="G88" s="684"/>
      <c r="H88" s="684"/>
      <c r="I88" s="684"/>
      <c r="J88" s="684"/>
      <c r="K88" s="684"/>
      <c r="L88" s="684"/>
      <c r="M88" s="684"/>
      <c r="N88" s="685"/>
      <c r="O88" s="684"/>
      <c r="P88" s="684"/>
      <c r="Q88" s="684"/>
      <c r="R88" s="684"/>
      <c r="S88" s="684"/>
      <c r="T88" s="684"/>
      <c r="U88" s="684"/>
      <c r="V88" s="684"/>
      <c r="W88" s="684"/>
      <c r="X88" s="684"/>
      <c r="Y88" s="685"/>
      <c r="Z88" s="686"/>
      <c r="AA88" s="687"/>
      <c r="AB88" s="687"/>
      <c r="AC88" s="688"/>
      <c r="AD88" s="667"/>
      <c r="AE88" s="668"/>
      <c r="AF88" s="668"/>
      <c r="AG88" s="440">
        <f t="shared" si="0"/>
        <v>0</v>
      </c>
      <c r="AH88" s="440">
        <f t="shared" si="1"/>
        <v>0</v>
      </c>
      <c r="AI88" s="440">
        <f t="shared" si="2"/>
        <v>0</v>
      </c>
      <c r="AJ88" s="652"/>
      <c r="AK88" s="689"/>
      <c r="AL88" s="667"/>
      <c r="AM88" s="667"/>
      <c r="AN88" s="668"/>
      <c r="AO88" s="668"/>
      <c r="AP88" s="440">
        <f t="shared" si="3"/>
        <v>0</v>
      </c>
      <c r="AQ88" s="689"/>
    </row>
    <row r="89" spans="1:43" x14ac:dyDescent="0.25">
      <c r="A89" s="670"/>
      <c r="B89" s="671" t="s">
        <v>464</v>
      </c>
      <c r="C89" s="661"/>
      <c r="D89" s="662"/>
      <c r="E89" s="662"/>
      <c r="F89" s="662"/>
      <c r="G89" s="662"/>
      <c r="H89" s="662"/>
      <c r="I89" s="662"/>
      <c r="J89" s="662"/>
      <c r="K89" s="662"/>
      <c r="L89" s="662"/>
      <c r="M89" s="662"/>
      <c r="N89" s="663"/>
      <c r="O89" s="662"/>
      <c r="P89" s="662"/>
      <c r="Q89" s="662"/>
      <c r="R89" s="662"/>
      <c r="S89" s="662"/>
      <c r="T89" s="662"/>
      <c r="U89" s="662"/>
      <c r="V89" s="662"/>
      <c r="W89" s="662"/>
      <c r="X89" s="662"/>
      <c r="Y89" s="663"/>
      <c r="Z89" s="672"/>
      <c r="AA89" s="673"/>
      <c r="AB89" s="673"/>
      <c r="AC89" s="674"/>
      <c r="AD89" s="675"/>
      <c r="AE89" s="676"/>
      <c r="AF89" s="676"/>
      <c r="AG89" s="440"/>
      <c r="AH89" s="440"/>
      <c r="AI89" s="440"/>
      <c r="AJ89" s="652"/>
      <c r="AK89" s="677"/>
      <c r="AL89" s="675"/>
      <c r="AM89" s="675"/>
      <c r="AN89" s="676"/>
      <c r="AO89" s="676"/>
      <c r="AP89" s="440"/>
      <c r="AQ89" s="677"/>
    </row>
    <row r="90" spans="1:43" x14ac:dyDescent="0.25">
      <c r="A90" s="670"/>
      <c r="B90" s="671" t="s">
        <v>439</v>
      </c>
      <c r="C90" s="661"/>
      <c r="D90" s="662"/>
      <c r="E90" s="662"/>
      <c r="F90" s="662"/>
      <c r="G90" s="662"/>
      <c r="H90" s="662"/>
      <c r="I90" s="662"/>
      <c r="J90" s="662"/>
      <c r="K90" s="662"/>
      <c r="L90" s="662"/>
      <c r="M90" s="662"/>
      <c r="N90" s="663"/>
      <c r="O90" s="662"/>
      <c r="P90" s="662"/>
      <c r="Q90" s="662"/>
      <c r="R90" s="662"/>
      <c r="S90" s="662"/>
      <c r="T90" s="662"/>
      <c r="U90" s="662"/>
      <c r="V90" s="662"/>
      <c r="W90" s="662"/>
      <c r="X90" s="662"/>
      <c r="Y90" s="663"/>
      <c r="Z90" s="672"/>
      <c r="AA90" s="673"/>
      <c r="AB90" s="673"/>
      <c r="AC90" s="674"/>
      <c r="AD90" s="675"/>
      <c r="AE90" s="676"/>
      <c r="AF90" s="676"/>
      <c r="AG90" s="440"/>
      <c r="AH90" s="440"/>
      <c r="AI90" s="440"/>
      <c r="AJ90" s="652"/>
      <c r="AK90" s="677"/>
      <c r="AL90" s="675"/>
      <c r="AM90" s="675"/>
      <c r="AN90" s="676"/>
      <c r="AO90" s="676"/>
      <c r="AP90" s="440"/>
      <c r="AQ90" s="677"/>
    </row>
    <row r="91" spans="1:43" x14ac:dyDescent="0.25">
      <c r="A91" s="670"/>
      <c r="B91" s="671" t="s">
        <v>440</v>
      </c>
      <c r="C91" s="661"/>
      <c r="D91" s="662"/>
      <c r="E91" s="662"/>
      <c r="F91" s="662"/>
      <c r="G91" s="662"/>
      <c r="H91" s="662"/>
      <c r="I91" s="662"/>
      <c r="J91" s="662"/>
      <c r="K91" s="662"/>
      <c r="L91" s="662"/>
      <c r="M91" s="662"/>
      <c r="N91" s="663"/>
      <c r="O91" s="662"/>
      <c r="P91" s="662"/>
      <c r="Q91" s="662"/>
      <c r="R91" s="662"/>
      <c r="S91" s="662"/>
      <c r="T91" s="662"/>
      <c r="U91" s="662"/>
      <c r="V91" s="662"/>
      <c r="W91" s="662"/>
      <c r="X91" s="662"/>
      <c r="Y91" s="663"/>
      <c r="Z91" s="672"/>
      <c r="AA91" s="673"/>
      <c r="AB91" s="673"/>
      <c r="AC91" s="674"/>
      <c r="AD91" s="675"/>
      <c r="AE91" s="676"/>
      <c r="AF91" s="676"/>
      <c r="AG91" s="440"/>
      <c r="AH91" s="440"/>
      <c r="AI91" s="440"/>
      <c r="AJ91" s="652"/>
      <c r="AK91" s="677"/>
      <c r="AL91" s="675"/>
      <c r="AM91" s="675"/>
      <c r="AN91" s="676"/>
      <c r="AO91" s="676"/>
      <c r="AP91" s="440"/>
      <c r="AQ91" s="677"/>
    </row>
    <row r="92" spans="1:43" x14ac:dyDescent="0.25">
      <c r="A92" s="670"/>
      <c r="B92" s="671" t="s">
        <v>441</v>
      </c>
      <c r="C92" s="661"/>
      <c r="D92" s="662"/>
      <c r="E92" s="662"/>
      <c r="F92" s="662"/>
      <c r="G92" s="662"/>
      <c r="H92" s="662"/>
      <c r="I92" s="662"/>
      <c r="J92" s="662"/>
      <c r="K92" s="662"/>
      <c r="L92" s="662"/>
      <c r="M92" s="662"/>
      <c r="N92" s="663"/>
      <c r="O92" s="662"/>
      <c r="P92" s="662"/>
      <c r="Q92" s="662"/>
      <c r="R92" s="662"/>
      <c r="S92" s="662"/>
      <c r="T92" s="662"/>
      <c r="U92" s="662"/>
      <c r="V92" s="662"/>
      <c r="W92" s="662"/>
      <c r="X92" s="662"/>
      <c r="Y92" s="663"/>
      <c r="Z92" s="672"/>
      <c r="AA92" s="673"/>
      <c r="AB92" s="673"/>
      <c r="AC92" s="674"/>
      <c r="AD92" s="675"/>
      <c r="AE92" s="676"/>
      <c r="AF92" s="676"/>
      <c r="AG92" s="440"/>
      <c r="AH92" s="440"/>
      <c r="AI92" s="440"/>
      <c r="AJ92" s="652"/>
      <c r="AK92" s="677"/>
      <c r="AL92" s="675"/>
      <c r="AM92" s="675"/>
      <c r="AN92" s="676"/>
      <c r="AO92" s="676"/>
      <c r="AP92" s="440"/>
      <c r="AQ92" s="677"/>
    </row>
    <row r="93" spans="1:43" x14ac:dyDescent="0.25">
      <c r="A93" s="670"/>
      <c r="B93" s="671" t="s">
        <v>442</v>
      </c>
      <c r="C93" s="661"/>
      <c r="D93" s="662"/>
      <c r="E93" s="662"/>
      <c r="F93" s="662"/>
      <c r="G93" s="662"/>
      <c r="H93" s="662"/>
      <c r="I93" s="662"/>
      <c r="J93" s="662"/>
      <c r="K93" s="662"/>
      <c r="L93" s="662"/>
      <c r="M93" s="662"/>
      <c r="N93" s="663"/>
      <c r="O93" s="662"/>
      <c r="P93" s="662"/>
      <c r="Q93" s="662"/>
      <c r="R93" s="662"/>
      <c r="S93" s="662"/>
      <c r="T93" s="662"/>
      <c r="U93" s="662"/>
      <c r="V93" s="662"/>
      <c r="W93" s="662"/>
      <c r="X93" s="662"/>
      <c r="Y93" s="663"/>
      <c r="Z93" s="672"/>
      <c r="AA93" s="673"/>
      <c r="AB93" s="673"/>
      <c r="AC93" s="674"/>
      <c r="AD93" s="675"/>
      <c r="AE93" s="676"/>
      <c r="AF93" s="676"/>
      <c r="AG93" s="440"/>
      <c r="AH93" s="440"/>
      <c r="AI93" s="440"/>
      <c r="AJ93" s="652"/>
      <c r="AK93" s="677"/>
      <c r="AL93" s="675"/>
      <c r="AM93" s="675"/>
      <c r="AN93" s="676"/>
      <c r="AO93" s="676"/>
      <c r="AP93" s="440"/>
      <c r="AQ93" s="677"/>
    </row>
    <row r="94" spans="1:43" ht="36" x14ac:dyDescent="0.25">
      <c r="A94" s="670"/>
      <c r="B94" s="671" t="s">
        <v>443</v>
      </c>
      <c r="C94" s="661"/>
      <c r="D94" s="662"/>
      <c r="E94" s="662"/>
      <c r="F94" s="662"/>
      <c r="G94" s="662"/>
      <c r="H94" s="662"/>
      <c r="I94" s="662"/>
      <c r="J94" s="662"/>
      <c r="K94" s="662"/>
      <c r="L94" s="662"/>
      <c r="M94" s="662"/>
      <c r="N94" s="663"/>
      <c r="O94" s="662"/>
      <c r="P94" s="662"/>
      <c r="Q94" s="662"/>
      <c r="R94" s="662"/>
      <c r="S94" s="662"/>
      <c r="T94" s="662"/>
      <c r="U94" s="662"/>
      <c r="V94" s="662"/>
      <c r="W94" s="662"/>
      <c r="X94" s="662"/>
      <c r="Y94" s="663"/>
      <c r="Z94" s="672"/>
      <c r="AA94" s="673"/>
      <c r="AB94" s="673"/>
      <c r="AC94" s="674"/>
      <c r="AD94" s="675"/>
      <c r="AE94" s="676"/>
      <c r="AF94" s="676"/>
      <c r="AG94" s="440"/>
      <c r="AH94" s="440"/>
      <c r="AI94" s="440"/>
      <c r="AJ94" s="652"/>
      <c r="AK94" s="677"/>
      <c r="AL94" s="675"/>
      <c r="AM94" s="675"/>
      <c r="AN94" s="676"/>
      <c r="AO94" s="676"/>
      <c r="AP94" s="440"/>
      <c r="AQ94" s="677"/>
    </row>
    <row r="95" spans="1:43" x14ac:dyDescent="0.25">
      <c r="A95" s="670"/>
      <c r="B95" s="671" t="s">
        <v>444</v>
      </c>
      <c r="C95" s="661"/>
      <c r="D95" s="662"/>
      <c r="E95" s="662"/>
      <c r="F95" s="662"/>
      <c r="G95" s="662"/>
      <c r="H95" s="662"/>
      <c r="I95" s="662"/>
      <c r="J95" s="662"/>
      <c r="K95" s="662"/>
      <c r="L95" s="662"/>
      <c r="M95" s="662"/>
      <c r="N95" s="663"/>
      <c r="O95" s="662"/>
      <c r="P95" s="662"/>
      <c r="Q95" s="662"/>
      <c r="R95" s="662"/>
      <c r="S95" s="662"/>
      <c r="T95" s="662"/>
      <c r="U95" s="662"/>
      <c r="V95" s="662"/>
      <c r="W95" s="662"/>
      <c r="X95" s="662"/>
      <c r="Y95" s="663"/>
      <c r="Z95" s="672"/>
      <c r="AA95" s="673"/>
      <c r="AB95" s="673"/>
      <c r="AC95" s="674"/>
      <c r="AD95" s="675"/>
      <c r="AE95" s="676"/>
      <c r="AF95" s="676"/>
      <c r="AG95" s="440"/>
      <c r="AH95" s="440"/>
      <c r="AI95" s="440"/>
      <c r="AJ95" s="652"/>
      <c r="AK95" s="677"/>
      <c r="AL95" s="675"/>
      <c r="AM95" s="675"/>
      <c r="AN95" s="676"/>
      <c r="AO95" s="676"/>
      <c r="AP95" s="440"/>
      <c r="AQ95" s="677"/>
    </row>
    <row r="96" spans="1:43" ht="24" x14ac:dyDescent="0.25">
      <c r="A96" s="670"/>
      <c r="B96" s="671" t="s">
        <v>445</v>
      </c>
      <c r="C96" s="661"/>
      <c r="D96" s="662"/>
      <c r="E96" s="662"/>
      <c r="F96" s="662"/>
      <c r="G96" s="662"/>
      <c r="H96" s="662"/>
      <c r="I96" s="662"/>
      <c r="J96" s="662"/>
      <c r="K96" s="662"/>
      <c r="L96" s="662"/>
      <c r="M96" s="662"/>
      <c r="N96" s="663"/>
      <c r="O96" s="662"/>
      <c r="P96" s="662"/>
      <c r="Q96" s="662"/>
      <c r="R96" s="662"/>
      <c r="S96" s="662"/>
      <c r="T96" s="662"/>
      <c r="U96" s="662"/>
      <c r="V96" s="662"/>
      <c r="W96" s="662"/>
      <c r="X96" s="662"/>
      <c r="Y96" s="663"/>
      <c r="Z96" s="672"/>
      <c r="AA96" s="673"/>
      <c r="AB96" s="673"/>
      <c r="AC96" s="674"/>
      <c r="AD96" s="675"/>
      <c r="AE96" s="676"/>
      <c r="AF96" s="676"/>
      <c r="AG96" s="440"/>
      <c r="AH96" s="440"/>
      <c r="AI96" s="440"/>
      <c r="AJ96" s="652"/>
      <c r="AK96" s="677"/>
      <c r="AL96" s="675"/>
      <c r="AM96" s="675"/>
      <c r="AN96" s="676"/>
      <c r="AO96" s="676"/>
      <c r="AP96" s="440"/>
      <c r="AQ96" s="677"/>
    </row>
    <row r="97" spans="1:43" x14ac:dyDescent="0.25">
      <c r="A97" s="670"/>
      <c r="B97" s="671" t="s">
        <v>446</v>
      </c>
      <c r="C97" s="661"/>
      <c r="D97" s="662"/>
      <c r="E97" s="662"/>
      <c r="F97" s="662"/>
      <c r="G97" s="662"/>
      <c r="H97" s="662"/>
      <c r="I97" s="662"/>
      <c r="J97" s="662"/>
      <c r="K97" s="662"/>
      <c r="L97" s="662"/>
      <c r="M97" s="662"/>
      <c r="N97" s="663"/>
      <c r="O97" s="662"/>
      <c r="P97" s="662"/>
      <c r="Q97" s="662"/>
      <c r="R97" s="662"/>
      <c r="S97" s="662"/>
      <c r="T97" s="662"/>
      <c r="U97" s="662"/>
      <c r="V97" s="662"/>
      <c r="W97" s="662"/>
      <c r="X97" s="662"/>
      <c r="Y97" s="663"/>
      <c r="Z97" s="672"/>
      <c r="AA97" s="673"/>
      <c r="AB97" s="673"/>
      <c r="AC97" s="674"/>
      <c r="AD97" s="675"/>
      <c r="AE97" s="676"/>
      <c r="AF97" s="676"/>
      <c r="AG97" s="440"/>
      <c r="AH97" s="440"/>
      <c r="AI97" s="440"/>
      <c r="AJ97" s="652"/>
      <c r="AK97" s="677"/>
      <c r="AL97" s="675"/>
      <c r="AM97" s="675"/>
      <c r="AN97" s="676"/>
      <c r="AO97" s="676"/>
      <c r="AP97" s="440"/>
      <c r="AQ97" s="677"/>
    </row>
    <row r="98" spans="1:43" ht="36" x14ac:dyDescent="0.25">
      <c r="A98" s="670"/>
      <c r="B98" s="671" t="s">
        <v>447</v>
      </c>
      <c r="C98" s="661"/>
      <c r="D98" s="662"/>
      <c r="E98" s="662"/>
      <c r="F98" s="662"/>
      <c r="G98" s="662"/>
      <c r="H98" s="662"/>
      <c r="I98" s="662"/>
      <c r="J98" s="662"/>
      <c r="K98" s="662"/>
      <c r="L98" s="662"/>
      <c r="M98" s="662"/>
      <c r="N98" s="663"/>
      <c r="O98" s="662"/>
      <c r="P98" s="662"/>
      <c r="Q98" s="662"/>
      <c r="R98" s="662"/>
      <c r="S98" s="662"/>
      <c r="T98" s="662"/>
      <c r="U98" s="662"/>
      <c r="V98" s="662"/>
      <c r="W98" s="662"/>
      <c r="X98" s="662"/>
      <c r="Y98" s="663"/>
      <c r="Z98" s="672"/>
      <c r="AA98" s="673"/>
      <c r="AB98" s="673"/>
      <c r="AC98" s="674"/>
      <c r="AD98" s="675"/>
      <c r="AE98" s="676"/>
      <c r="AF98" s="676"/>
      <c r="AG98" s="440"/>
      <c r="AH98" s="440"/>
      <c r="AI98" s="440"/>
      <c r="AJ98" s="652"/>
      <c r="AK98" s="677"/>
      <c r="AL98" s="675"/>
      <c r="AM98" s="675"/>
      <c r="AN98" s="676"/>
      <c r="AO98" s="676"/>
      <c r="AP98" s="440"/>
      <c r="AQ98" s="677"/>
    </row>
    <row r="99" spans="1:43" x14ac:dyDescent="0.25">
      <c r="A99" s="670"/>
      <c r="B99" s="671" t="s">
        <v>448</v>
      </c>
      <c r="C99" s="661"/>
      <c r="D99" s="662"/>
      <c r="E99" s="662"/>
      <c r="F99" s="662"/>
      <c r="G99" s="662"/>
      <c r="H99" s="662"/>
      <c r="I99" s="662"/>
      <c r="J99" s="662"/>
      <c r="K99" s="662"/>
      <c r="L99" s="662"/>
      <c r="M99" s="662"/>
      <c r="N99" s="663"/>
      <c r="O99" s="662"/>
      <c r="P99" s="662"/>
      <c r="Q99" s="662"/>
      <c r="R99" s="662"/>
      <c r="S99" s="662"/>
      <c r="T99" s="662"/>
      <c r="U99" s="662"/>
      <c r="V99" s="662"/>
      <c r="W99" s="662"/>
      <c r="X99" s="662"/>
      <c r="Y99" s="663"/>
      <c r="Z99" s="672"/>
      <c r="AA99" s="673"/>
      <c r="AB99" s="673"/>
      <c r="AC99" s="674"/>
      <c r="AD99" s="675"/>
      <c r="AE99" s="676"/>
      <c r="AF99" s="676"/>
      <c r="AG99" s="440"/>
      <c r="AH99" s="440"/>
      <c r="AI99" s="440"/>
      <c r="AJ99" s="652"/>
      <c r="AK99" s="677"/>
      <c r="AL99" s="675"/>
      <c r="AM99" s="675"/>
      <c r="AN99" s="676"/>
      <c r="AO99" s="676"/>
      <c r="AP99" s="440"/>
      <c r="AQ99" s="677"/>
    </row>
    <row r="100" spans="1:43" x14ac:dyDescent="0.25">
      <c r="A100" s="670"/>
      <c r="B100" s="671" t="s">
        <v>449</v>
      </c>
      <c r="C100" s="661"/>
      <c r="D100" s="662"/>
      <c r="E100" s="662"/>
      <c r="F100" s="662"/>
      <c r="G100" s="662"/>
      <c r="H100" s="662"/>
      <c r="I100" s="662"/>
      <c r="J100" s="662"/>
      <c r="K100" s="662"/>
      <c r="L100" s="662"/>
      <c r="M100" s="662"/>
      <c r="N100" s="663"/>
      <c r="O100" s="662"/>
      <c r="P100" s="662"/>
      <c r="Q100" s="662"/>
      <c r="R100" s="662"/>
      <c r="S100" s="662"/>
      <c r="T100" s="662"/>
      <c r="U100" s="662"/>
      <c r="V100" s="662"/>
      <c r="W100" s="662"/>
      <c r="X100" s="662"/>
      <c r="Y100" s="663"/>
      <c r="Z100" s="672"/>
      <c r="AA100" s="673"/>
      <c r="AB100" s="673"/>
      <c r="AC100" s="674"/>
      <c r="AD100" s="675"/>
      <c r="AE100" s="676"/>
      <c r="AF100" s="676"/>
      <c r="AG100" s="440"/>
      <c r="AH100" s="440"/>
      <c r="AI100" s="440"/>
      <c r="AJ100" s="652"/>
      <c r="AK100" s="677"/>
      <c r="AL100" s="675"/>
      <c r="AM100" s="675"/>
      <c r="AN100" s="676"/>
      <c r="AO100" s="676"/>
      <c r="AP100" s="440"/>
      <c r="AQ100" s="677"/>
    </row>
    <row r="101" spans="1:43" x14ac:dyDescent="0.25">
      <c r="A101" s="670"/>
      <c r="B101" s="671" t="s">
        <v>450</v>
      </c>
      <c r="C101" s="661"/>
      <c r="D101" s="662"/>
      <c r="E101" s="662"/>
      <c r="F101" s="662"/>
      <c r="G101" s="662"/>
      <c r="H101" s="662"/>
      <c r="I101" s="662"/>
      <c r="J101" s="662"/>
      <c r="K101" s="662"/>
      <c r="L101" s="662"/>
      <c r="M101" s="662"/>
      <c r="N101" s="663"/>
      <c r="O101" s="662"/>
      <c r="P101" s="662"/>
      <c r="Q101" s="662"/>
      <c r="R101" s="662"/>
      <c r="S101" s="662"/>
      <c r="T101" s="662"/>
      <c r="U101" s="662"/>
      <c r="V101" s="662"/>
      <c r="W101" s="662"/>
      <c r="X101" s="662"/>
      <c r="Y101" s="663"/>
      <c r="Z101" s="672"/>
      <c r="AA101" s="673"/>
      <c r="AB101" s="673"/>
      <c r="AC101" s="674"/>
      <c r="AD101" s="675"/>
      <c r="AE101" s="676"/>
      <c r="AF101" s="676"/>
      <c r="AG101" s="440"/>
      <c r="AH101" s="440"/>
      <c r="AI101" s="440"/>
      <c r="AJ101" s="652"/>
      <c r="AK101" s="677"/>
      <c r="AL101" s="675"/>
      <c r="AM101" s="675"/>
      <c r="AN101" s="676"/>
      <c r="AO101" s="676"/>
      <c r="AP101" s="440"/>
      <c r="AQ101" s="677"/>
    </row>
    <row r="102" spans="1:43" x14ac:dyDescent="0.25">
      <c r="A102" s="670"/>
      <c r="B102" s="671" t="s">
        <v>451</v>
      </c>
      <c r="C102" s="661"/>
      <c r="D102" s="662"/>
      <c r="E102" s="662"/>
      <c r="F102" s="662"/>
      <c r="G102" s="662"/>
      <c r="H102" s="662"/>
      <c r="I102" s="662"/>
      <c r="J102" s="662"/>
      <c r="K102" s="662"/>
      <c r="L102" s="662"/>
      <c r="M102" s="662"/>
      <c r="N102" s="663"/>
      <c r="O102" s="662"/>
      <c r="P102" s="662"/>
      <c r="Q102" s="662"/>
      <c r="R102" s="662"/>
      <c r="S102" s="662"/>
      <c r="T102" s="662"/>
      <c r="U102" s="662"/>
      <c r="V102" s="662"/>
      <c r="W102" s="662"/>
      <c r="X102" s="662"/>
      <c r="Y102" s="663"/>
      <c r="Z102" s="672"/>
      <c r="AA102" s="673"/>
      <c r="AB102" s="673"/>
      <c r="AC102" s="674"/>
      <c r="AD102" s="675"/>
      <c r="AE102" s="676"/>
      <c r="AF102" s="676"/>
      <c r="AG102" s="440"/>
      <c r="AH102" s="440"/>
      <c r="AI102" s="440"/>
      <c r="AJ102" s="652"/>
      <c r="AK102" s="677"/>
      <c r="AL102" s="675"/>
      <c r="AM102" s="675"/>
      <c r="AN102" s="676"/>
      <c r="AO102" s="676"/>
      <c r="AP102" s="440"/>
      <c r="AQ102" s="677"/>
    </row>
    <row r="103" spans="1:43" x14ac:dyDescent="0.25">
      <c r="A103" s="670"/>
      <c r="B103" s="671" t="s">
        <v>452</v>
      </c>
      <c r="C103" s="661"/>
      <c r="D103" s="662"/>
      <c r="E103" s="662"/>
      <c r="F103" s="662"/>
      <c r="G103" s="662"/>
      <c r="H103" s="662"/>
      <c r="I103" s="662"/>
      <c r="J103" s="662"/>
      <c r="K103" s="662"/>
      <c r="L103" s="662"/>
      <c r="M103" s="662"/>
      <c r="N103" s="663"/>
      <c r="O103" s="662"/>
      <c r="P103" s="662"/>
      <c r="Q103" s="662"/>
      <c r="R103" s="662"/>
      <c r="S103" s="662"/>
      <c r="T103" s="662"/>
      <c r="U103" s="662"/>
      <c r="V103" s="662"/>
      <c r="W103" s="662"/>
      <c r="X103" s="662"/>
      <c r="Y103" s="663"/>
      <c r="Z103" s="672"/>
      <c r="AA103" s="673"/>
      <c r="AB103" s="673"/>
      <c r="AC103" s="674"/>
      <c r="AD103" s="675"/>
      <c r="AE103" s="676"/>
      <c r="AF103" s="676"/>
      <c r="AG103" s="440"/>
      <c r="AH103" s="440"/>
      <c r="AI103" s="440"/>
      <c r="AJ103" s="652"/>
      <c r="AK103" s="677"/>
      <c r="AL103" s="675"/>
      <c r="AM103" s="675"/>
      <c r="AN103" s="676"/>
      <c r="AO103" s="676"/>
      <c r="AP103" s="440"/>
      <c r="AQ103" s="677"/>
    </row>
    <row r="104" spans="1:43" x14ac:dyDescent="0.25">
      <c r="A104" s="670"/>
      <c r="B104" s="671" t="s">
        <v>453</v>
      </c>
      <c r="C104" s="661"/>
      <c r="D104" s="662"/>
      <c r="E104" s="662"/>
      <c r="F104" s="662"/>
      <c r="G104" s="662"/>
      <c r="H104" s="662"/>
      <c r="I104" s="662"/>
      <c r="J104" s="662"/>
      <c r="K104" s="662"/>
      <c r="L104" s="662"/>
      <c r="M104" s="662"/>
      <c r="N104" s="663"/>
      <c r="O104" s="662"/>
      <c r="P104" s="662"/>
      <c r="Q104" s="662"/>
      <c r="R104" s="662"/>
      <c r="S104" s="662"/>
      <c r="T104" s="662"/>
      <c r="U104" s="662"/>
      <c r="V104" s="662"/>
      <c r="W104" s="662"/>
      <c r="X104" s="662"/>
      <c r="Y104" s="663"/>
      <c r="Z104" s="672"/>
      <c r="AA104" s="673"/>
      <c r="AB104" s="673"/>
      <c r="AC104" s="674"/>
      <c r="AD104" s="675"/>
      <c r="AE104" s="676"/>
      <c r="AF104" s="676"/>
      <c r="AG104" s="440"/>
      <c r="AH104" s="440"/>
      <c r="AI104" s="440"/>
      <c r="AJ104" s="652"/>
      <c r="AK104" s="677"/>
      <c r="AL104" s="675"/>
      <c r="AM104" s="675"/>
      <c r="AN104" s="676"/>
      <c r="AO104" s="676"/>
      <c r="AP104" s="440"/>
      <c r="AQ104" s="677"/>
    </row>
    <row r="105" spans="1:43" ht="24" x14ac:dyDescent="0.25">
      <c r="A105" s="670"/>
      <c r="B105" s="671" t="s">
        <v>454</v>
      </c>
      <c r="C105" s="661"/>
      <c r="D105" s="662"/>
      <c r="E105" s="662"/>
      <c r="F105" s="662"/>
      <c r="G105" s="662"/>
      <c r="H105" s="662"/>
      <c r="I105" s="662"/>
      <c r="J105" s="662"/>
      <c r="K105" s="662"/>
      <c r="L105" s="662"/>
      <c r="M105" s="662"/>
      <c r="N105" s="663"/>
      <c r="O105" s="662"/>
      <c r="P105" s="662"/>
      <c r="Q105" s="662"/>
      <c r="R105" s="662"/>
      <c r="S105" s="662"/>
      <c r="T105" s="662"/>
      <c r="U105" s="662"/>
      <c r="V105" s="662"/>
      <c r="W105" s="662"/>
      <c r="X105" s="662"/>
      <c r="Y105" s="663"/>
      <c r="Z105" s="672"/>
      <c r="AA105" s="673"/>
      <c r="AB105" s="673"/>
      <c r="AC105" s="674"/>
      <c r="AD105" s="675"/>
      <c r="AE105" s="676"/>
      <c r="AF105" s="676"/>
      <c r="AG105" s="440"/>
      <c r="AH105" s="440"/>
      <c r="AI105" s="440"/>
      <c r="AJ105" s="652"/>
      <c r="AK105" s="677"/>
      <c r="AL105" s="675"/>
      <c r="AM105" s="675"/>
      <c r="AN105" s="676"/>
      <c r="AO105" s="676"/>
      <c r="AP105" s="440"/>
      <c r="AQ105" s="677"/>
    </row>
    <row r="106" spans="1:43" ht="24" x14ac:dyDescent="0.25">
      <c r="A106" s="670"/>
      <c r="B106" s="671" t="s">
        <v>455</v>
      </c>
      <c r="C106" s="661"/>
      <c r="D106" s="662"/>
      <c r="E106" s="662"/>
      <c r="F106" s="662"/>
      <c r="G106" s="662"/>
      <c r="H106" s="662"/>
      <c r="I106" s="662"/>
      <c r="J106" s="662"/>
      <c r="K106" s="662"/>
      <c r="L106" s="662"/>
      <c r="M106" s="662"/>
      <c r="N106" s="663"/>
      <c r="O106" s="662"/>
      <c r="P106" s="662"/>
      <c r="Q106" s="662"/>
      <c r="R106" s="662"/>
      <c r="S106" s="662"/>
      <c r="T106" s="662"/>
      <c r="U106" s="662"/>
      <c r="V106" s="662"/>
      <c r="W106" s="662"/>
      <c r="X106" s="662"/>
      <c r="Y106" s="663"/>
      <c r="Z106" s="672"/>
      <c r="AA106" s="673"/>
      <c r="AB106" s="673"/>
      <c r="AC106" s="674"/>
      <c r="AD106" s="675"/>
      <c r="AE106" s="676"/>
      <c r="AF106" s="676"/>
      <c r="AG106" s="440"/>
      <c r="AH106" s="440"/>
      <c r="AI106" s="440"/>
      <c r="AJ106" s="652"/>
      <c r="AK106" s="677"/>
      <c r="AL106" s="675"/>
      <c r="AM106" s="675"/>
      <c r="AN106" s="676"/>
      <c r="AO106" s="676"/>
      <c r="AP106" s="440"/>
      <c r="AQ106" s="677"/>
    </row>
    <row r="107" spans="1:43" x14ac:dyDescent="0.25">
      <c r="A107" s="670"/>
      <c r="B107" s="671" t="s">
        <v>456</v>
      </c>
      <c r="C107" s="661"/>
      <c r="D107" s="662"/>
      <c r="E107" s="662"/>
      <c r="F107" s="662"/>
      <c r="G107" s="662"/>
      <c r="H107" s="662"/>
      <c r="I107" s="662"/>
      <c r="J107" s="662"/>
      <c r="K107" s="662"/>
      <c r="L107" s="662"/>
      <c r="M107" s="662"/>
      <c r="N107" s="663"/>
      <c r="O107" s="662"/>
      <c r="P107" s="662"/>
      <c r="Q107" s="662"/>
      <c r="R107" s="662"/>
      <c r="S107" s="662"/>
      <c r="T107" s="662"/>
      <c r="U107" s="662"/>
      <c r="V107" s="662"/>
      <c r="W107" s="662"/>
      <c r="X107" s="662"/>
      <c r="Y107" s="663"/>
      <c r="Z107" s="672"/>
      <c r="AA107" s="673"/>
      <c r="AB107" s="673"/>
      <c r="AC107" s="674"/>
      <c r="AD107" s="675"/>
      <c r="AE107" s="676"/>
      <c r="AF107" s="676"/>
      <c r="AG107" s="440"/>
      <c r="AH107" s="440"/>
      <c r="AI107" s="440"/>
      <c r="AJ107" s="652"/>
      <c r="AK107" s="677"/>
      <c r="AL107" s="675"/>
      <c r="AM107" s="675"/>
      <c r="AN107" s="676"/>
      <c r="AO107" s="676"/>
      <c r="AP107" s="440"/>
      <c r="AQ107" s="677"/>
    </row>
    <row r="108" spans="1:43" x14ac:dyDescent="0.25">
      <c r="A108" s="670"/>
      <c r="B108" s="671" t="s">
        <v>457</v>
      </c>
      <c r="C108" s="661"/>
      <c r="D108" s="662"/>
      <c r="E108" s="662"/>
      <c r="F108" s="662"/>
      <c r="G108" s="662"/>
      <c r="H108" s="662"/>
      <c r="I108" s="662"/>
      <c r="J108" s="662"/>
      <c r="K108" s="662"/>
      <c r="L108" s="662"/>
      <c r="M108" s="662"/>
      <c r="N108" s="663"/>
      <c r="O108" s="662"/>
      <c r="P108" s="662"/>
      <c r="Q108" s="662"/>
      <c r="R108" s="662"/>
      <c r="S108" s="662"/>
      <c r="T108" s="662"/>
      <c r="U108" s="662"/>
      <c r="V108" s="662"/>
      <c r="W108" s="662"/>
      <c r="X108" s="662"/>
      <c r="Y108" s="663"/>
      <c r="Z108" s="672"/>
      <c r="AA108" s="673"/>
      <c r="AB108" s="673"/>
      <c r="AC108" s="674"/>
      <c r="AD108" s="675"/>
      <c r="AE108" s="676"/>
      <c r="AF108" s="676"/>
      <c r="AG108" s="440"/>
      <c r="AH108" s="440"/>
      <c r="AI108" s="440"/>
      <c r="AJ108" s="652"/>
      <c r="AK108" s="677"/>
      <c r="AL108" s="675"/>
      <c r="AM108" s="675"/>
      <c r="AN108" s="676"/>
      <c r="AO108" s="676"/>
      <c r="AP108" s="440"/>
      <c r="AQ108" s="677"/>
    </row>
    <row r="109" spans="1:43" x14ac:dyDescent="0.25">
      <c r="A109" s="670"/>
      <c r="B109" s="671" t="s">
        <v>458</v>
      </c>
      <c r="C109" s="661"/>
      <c r="D109" s="662"/>
      <c r="E109" s="662"/>
      <c r="F109" s="662"/>
      <c r="G109" s="662"/>
      <c r="H109" s="662"/>
      <c r="I109" s="662"/>
      <c r="J109" s="662"/>
      <c r="K109" s="662"/>
      <c r="L109" s="662"/>
      <c r="M109" s="662"/>
      <c r="N109" s="663"/>
      <c r="O109" s="662"/>
      <c r="P109" s="662"/>
      <c r="Q109" s="662"/>
      <c r="R109" s="662"/>
      <c r="S109" s="662"/>
      <c r="T109" s="662"/>
      <c r="U109" s="662"/>
      <c r="V109" s="662"/>
      <c r="W109" s="662"/>
      <c r="X109" s="662"/>
      <c r="Y109" s="663"/>
      <c r="Z109" s="672"/>
      <c r="AA109" s="673"/>
      <c r="AB109" s="673"/>
      <c r="AC109" s="674"/>
      <c r="AD109" s="675"/>
      <c r="AE109" s="676"/>
      <c r="AF109" s="676"/>
      <c r="AG109" s="440"/>
      <c r="AH109" s="440"/>
      <c r="AI109" s="440"/>
      <c r="AJ109" s="652"/>
      <c r="AK109" s="677"/>
      <c r="AL109" s="675"/>
      <c r="AM109" s="675"/>
      <c r="AN109" s="676"/>
      <c r="AO109" s="676"/>
      <c r="AP109" s="440"/>
      <c r="AQ109" s="677"/>
    </row>
    <row r="110" spans="1:43" ht="24" x14ac:dyDescent="0.25">
      <c r="A110" s="670"/>
      <c r="B110" s="671" t="s">
        <v>459</v>
      </c>
      <c r="C110" s="661"/>
      <c r="D110" s="662"/>
      <c r="E110" s="662"/>
      <c r="F110" s="662"/>
      <c r="G110" s="662"/>
      <c r="H110" s="662"/>
      <c r="I110" s="662"/>
      <c r="J110" s="662"/>
      <c r="K110" s="662"/>
      <c r="L110" s="662"/>
      <c r="M110" s="662"/>
      <c r="N110" s="663"/>
      <c r="O110" s="662"/>
      <c r="P110" s="662"/>
      <c r="Q110" s="662"/>
      <c r="R110" s="662"/>
      <c r="S110" s="662"/>
      <c r="T110" s="662"/>
      <c r="U110" s="662"/>
      <c r="V110" s="662"/>
      <c r="W110" s="662"/>
      <c r="X110" s="662"/>
      <c r="Y110" s="663"/>
      <c r="Z110" s="672"/>
      <c r="AA110" s="673"/>
      <c r="AB110" s="673"/>
      <c r="AC110" s="674"/>
      <c r="AD110" s="675"/>
      <c r="AE110" s="676"/>
      <c r="AF110" s="676"/>
      <c r="AG110" s="440"/>
      <c r="AH110" s="440"/>
      <c r="AI110" s="440"/>
      <c r="AJ110" s="652"/>
      <c r="AK110" s="677"/>
      <c r="AL110" s="675"/>
      <c r="AM110" s="675"/>
      <c r="AN110" s="676"/>
      <c r="AO110" s="676"/>
      <c r="AP110" s="440"/>
      <c r="AQ110" s="677"/>
    </row>
    <row r="111" spans="1:43" x14ac:dyDescent="0.25">
      <c r="A111" s="670"/>
      <c r="B111" s="671" t="s">
        <v>460</v>
      </c>
      <c r="C111" s="661"/>
      <c r="D111" s="662"/>
      <c r="E111" s="662"/>
      <c r="F111" s="662"/>
      <c r="G111" s="662"/>
      <c r="H111" s="662"/>
      <c r="I111" s="662"/>
      <c r="J111" s="662"/>
      <c r="K111" s="662"/>
      <c r="L111" s="662"/>
      <c r="M111" s="662"/>
      <c r="N111" s="663"/>
      <c r="O111" s="662"/>
      <c r="P111" s="662"/>
      <c r="Q111" s="662"/>
      <c r="R111" s="662"/>
      <c r="S111" s="662"/>
      <c r="T111" s="662"/>
      <c r="U111" s="662"/>
      <c r="V111" s="662"/>
      <c r="W111" s="662"/>
      <c r="X111" s="662"/>
      <c r="Y111" s="663"/>
      <c r="Z111" s="672"/>
      <c r="AA111" s="673"/>
      <c r="AB111" s="673"/>
      <c r="AC111" s="674"/>
      <c r="AD111" s="675"/>
      <c r="AE111" s="676"/>
      <c r="AF111" s="676"/>
      <c r="AG111" s="440"/>
      <c r="AH111" s="440"/>
      <c r="AI111" s="440"/>
      <c r="AJ111" s="652"/>
      <c r="AK111" s="677"/>
      <c r="AL111" s="675"/>
      <c r="AM111" s="675"/>
      <c r="AN111" s="676"/>
      <c r="AO111" s="676"/>
      <c r="AP111" s="440"/>
      <c r="AQ111" s="677"/>
    </row>
    <row r="112" spans="1:43" ht="24" x14ac:dyDescent="0.25">
      <c r="A112" s="670"/>
      <c r="B112" s="671" t="s">
        <v>461</v>
      </c>
      <c r="C112" s="661"/>
      <c r="D112" s="662"/>
      <c r="E112" s="662"/>
      <c r="F112" s="662"/>
      <c r="G112" s="662"/>
      <c r="H112" s="662"/>
      <c r="I112" s="662"/>
      <c r="J112" s="662"/>
      <c r="K112" s="662"/>
      <c r="L112" s="662"/>
      <c r="M112" s="662"/>
      <c r="N112" s="663"/>
      <c r="O112" s="662"/>
      <c r="P112" s="662"/>
      <c r="Q112" s="662"/>
      <c r="R112" s="662"/>
      <c r="S112" s="662"/>
      <c r="T112" s="662"/>
      <c r="U112" s="662"/>
      <c r="V112" s="662"/>
      <c r="W112" s="662"/>
      <c r="X112" s="662"/>
      <c r="Y112" s="663"/>
      <c r="Z112" s="672"/>
      <c r="AA112" s="673"/>
      <c r="AB112" s="673"/>
      <c r="AC112" s="674"/>
      <c r="AD112" s="675"/>
      <c r="AE112" s="676"/>
      <c r="AF112" s="676"/>
      <c r="AG112" s="440"/>
      <c r="AH112" s="440"/>
      <c r="AI112" s="440"/>
      <c r="AJ112" s="652"/>
      <c r="AK112" s="677"/>
      <c r="AL112" s="675"/>
      <c r="AM112" s="675"/>
      <c r="AN112" s="676"/>
      <c r="AO112" s="676"/>
      <c r="AP112" s="440"/>
      <c r="AQ112" s="677"/>
    </row>
    <row r="113" spans="1:43" x14ac:dyDescent="0.25">
      <c r="A113" s="670"/>
      <c r="B113" s="671" t="s">
        <v>462</v>
      </c>
      <c r="C113" s="661"/>
      <c r="D113" s="662"/>
      <c r="E113" s="662"/>
      <c r="F113" s="662"/>
      <c r="G113" s="662"/>
      <c r="H113" s="662"/>
      <c r="I113" s="662"/>
      <c r="J113" s="662"/>
      <c r="K113" s="662"/>
      <c r="L113" s="662"/>
      <c r="M113" s="662"/>
      <c r="N113" s="663"/>
      <c r="O113" s="662"/>
      <c r="P113" s="662"/>
      <c r="Q113" s="662"/>
      <c r="R113" s="662"/>
      <c r="S113" s="662"/>
      <c r="T113" s="662"/>
      <c r="U113" s="662"/>
      <c r="V113" s="662"/>
      <c r="W113" s="662"/>
      <c r="X113" s="662"/>
      <c r="Y113" s="663"/>
      <c r="Z113" s="672"/>
      <c r="AA113" s="673"/>
      <c r="AB113" s="673"/>
      <c r="AC113" s="674"/>
      <c r="AD113" s="675"/>
      <c r="AE113" s="676"/>
      <c r="AF113" s="676"/>
      <c r="AG113" s="440"/>
      <c r="AH113" s="440"/>
      <c r="AI113" s="440"/>
      <c r="AJ113" s="652"/>
      <c r="AK113" s="677"/>
      <c r="AL113" s="675"/>
      <c r="AM113" s="675"/>
      <c r="AN113" s="676"/>
      <c r="AO113" s="676"/>
      <c r="AP113" s="440"/>
      <c r="AQ113" s="677"/>
    </row>
    <row r="114" spans="1:43" ht="24" x14ac:dyDescent="0.25">
      <c r="A114" s="670"/>
      <c r="B114" s="671" t="s">
        <v>463</v>
      </c>
      <c r="C114" s="661"/>
      <c r="D114" s="662"/>
      <c r="E114" s="662"/>
      <c r="F114" s="662"/>
      <c r="G114" s="662"/>
      <c r="H114" s="662"/>
      <c r="I114" s="662"/>
      <c r="J114" s="662"/>
      <c r="K114" s="662"/>
      <c r="L114" s="662"/>
      <c r="M114" s="662"/>
      <c r="N114" s="663"/>
      <c r="O114" s="662"/>
      <c r="P114" s="662"/>
      <c r="Q114" s="662"/>
      <c r="R114" s="662"/>
      <c r="S114" s="662"/>
      <c r="T114" s="662"/>
      <c r="U114" s="662"/>
      <c r="V114" s="662"/>
      <c r="W114" s="662"/>
      <c r="X114" s="662"/>
      <c r="Y114" s="663"/>
      <c r="Z114" s="672"/>
      <c r="AA114" s="673"/>
      <c r="AB114" s="673"/>
      <c r="AC114" s="674"/>
      <c r="AD114" s="675"/>
      <c r="AE114" s="676"/>
      <c r="AF114" s="676"/>
      <c r="AG114" s="440"/>
      <c r="AH114" s="440"/>
      <c r="AI114" s="440"/>
      <c r="AJ114" s="652"/>
      <c r="AK114" s="677"/>
      <c r="AL114" s="675"/>
      <c r="AM114" s="675"/>
      <c r="AN114" s="676"/>
      <c r="AO114" s="676"/>
      <c r="AP114" s="440"/>
      <c r="AQ114" s="677"/>
    </row>
    <row r="115" spans="1:43" x14ac:dyDescent="0.25">
      <c r="A115" s="670"/>
      <c r="B115" s="671" t="s">
        <v>465</v>
      </c>
      <c r="C115" s="661"/>
      <c r="D115" s="662"/>
      <c r="E115" s="662"/>
      <c r="F115" s="662"/>
      <c r="G115" s="662"/>
      <c r="H115" s="662"/>
      <c r="I115" s="662"/>
      <c r="J115" s="662"/>
      <c r="K115" s="662"/>
      <c r="L115" s="662"/>
      <c r="M115" s="662"/>
      <c r="N115" s="663"/>
      <c r="O115" s="662"/>
      <c r="P115" s="662"/>
      <c r="Q115" s="662"/>
      <c r="R115" s="662"/>
      <c r="S115" s="662"/>
      <c r="T115" s="662"/>
      <c r="U115" s="662"/>
      <c r="V115" s="662"/>
      <c r="W115" s="662"/>
      <c r="X115" s="662"/>
      <c r="Y115" s="663"/>
      <c r="Z115" s="672"/>
      <c r="AA115" s="673"/>
      <c r="AB115" s="673"/>
      <c r="AC115" s="674"/>
      <c r="AD115" s="675"/>
      <c r="AE115" s="676"/>
      <c r="AF115" s="676"/>
      <c r="AG115" s="440"/>
      <c r="AH115" s="440"/>
      <c r="AI115" s="440"/>
      <c r="AJ115" s="652"/>
      <c r="AK115" s="677"/>
      <c r="AL115" s="675"/>
      <c r="AM115" s="675"/>
      <c r="AN115" s="676"/>
      <c r="AO115" s="676"/>
      <c r="AP115" s="440"/>
      <c r="AQ115" s="677"/>
    </row>
    <row r="116" spans="1:43" x14ac:dyDescent="0.25">
      <c r="A116" s="659" t="s">
        <v>148</v>
      </c>
      <c r="B116" s="660"/>
      <c r="C116" s="683"/>
      <c r="D116" s="684"/>
      <c r="E116" s="684"/>
      <c r="F116" s="684"/>
      <c r="G116" s="684"/>
      <c r="H116" s="684"/>
      <c r="I116" s="684"/>
      <c r="J116" s="684"/>
      <c r="K116" s="684"/>
      <c r="L116" s="684"/>
      <c r="M116" s="684"/>
      <c r="N116" s="685"/>
      <c r="O116" s="684"/>
      <c r="P116" s="684"/>
      <c r="Q116" s="684"/>
      <c r="R116" s="684"/>
      <c r="S116" s="684"/>
      <c r="T116" s="684"/>
      <c r="U116" s="684"/>
      <c r="V116" s="684"/>
      <c r="W116" s="684"/>
      <c r="X116" s="684"/>
      <c r="Y116" s="685"/>
      <c r="Z116" s="686"/>
      <c r="AA116" s="687"/>
      <c r="AB116" s="687"/>
      <c r="AC116" s="688"/>
      <c r="AD116" s="667"/>
      <c r="AE116" s="668"/>
      <c r="AF116" s="668"/>
      <c r="AG116" s="440">
        <v>0</v>
      </c>
      <c r="AH116" s="440">
        <v>0</v>
      </c>
      <c r="AI116" s="440">
        <v>0</v>
      </c>
      <c r="AJ116" s="652"/>
      <c r="AK116" s="689"/>
      <c r="AL116" s="667"/>
      <c r="AM116" s="667"/>
      <c r="AN116" s="668"/>
      <c r="AO116" s="668"/>
      <c r="AP116" s="440">
        <v>0</v>
      </c>
      <c r="AQ116" s="689"/>
    </row>
    <row r="117" spans="1:43" x14ac:dyDescent="0.25">
      <c r="A117" s="659"/>
      <c r="B117" s="660"/>
      <c r="C117" s="683"/>
      <c r="D117" s="684"/>
      <c r="E117" s="684"/>
      <c r="F117" s="684"/>
      <c r="G117" s="684"/>
      <c r="H117" s="684"/>
      <c r="I117" s="684"/>
      <c r="J117" s="684"/>
      <c r="K117" s="684"/>
      <c r="L117" s="684"/>
      <c r="M117" s="684"/>
      <c r="N117" s="685"/>
      <c r="O117" s="684"/>
      <c r="P117" s="684"/>
      <c r="Q117" s="684"/>
      <c r="R117" s="684"/>
      <c r="S117" s="684"/>
      <c r="T117" s="684"/>
      <c r="U117" s="684"/>
      <c r="V117" s="684"/>
      <c r="W117" s="684"/>
      <c r="X117" s="684"/>
      <c r="Y117" s="685"/>
      <c r="Z117" s="686"/>
      <c r="AA117" s="687"/>
      <c r="AB117" s="687"/>
      <c r="AC117" s="688"/>
      <c r="AD117" s="667"/>
      <c r="AE117" s="668"/>
      <c r="AF117" s="668"/>
      <c r="AG117" s="440"/>
      <c r="AH117" s="440"/>
      <c r="AI117" s="440"/>
      <c r="AJ117" s="652"/>
      <c r="AK117" s="689"/>
      <c r="AL117" s="667"/>
      <c r="AM117" s="667"/>
      <c r="AN117" s="668"/>
      <c r="AO117" s="668"/>
      <c r="AP117" s="440"/>
      <c r="AQ117" s="689"/>
    </row>
    <row r="118" spans="1:43" ht="24.6" thickBot="1" x14ac:dyDescent="0.3">
      <c r="A118" s="682" t="s">
        <v>496</v>
      </c>
      <c r="B118" s="682"/>
      <c r="C118" s="255"/>
      <c r="D118" s="256"/>
      <c r="E118" s="256"/>
      <c r="F118" s="256"/>
      <c r="G118" s="256"/>
      <c r="H118" s="256"/>
      <c r="I118" s="256"/>
      <c r="J118" s="256"/>
      <c r="K118" s="256"/>
      <c r="L118" s="256"/>
      <c r="M118" s="256"/>
      <c r="N118" s="257"/>
      <c r="O118" s="256"/>
      <c r="P118" s="256"/>
      <c r="Q118" s="256"/>
      <c r="R118" s="256"/>
      <c r="S118" s="256"/>
      <c r="T118" s="256"/>
      <c r="U118" s="256"/>
      <c r="V118" s="256"/>
      <c r="W118" s="256"/>
      <c r="X118" s="256"/>
      <c r="Y118" s="257"/>
      <c r="Z118" s="481"/>
      <c r="AA118" s="482"/>
      <c r="AB118" s="482"/>
      <c r="AC118" s="483"/>
      <c r="AD118" s="443"/>
      <c r="AE118" s="225"/>
      <c r="AF118" s="225"/>
      <c r="AG118" s="477">
        <f t="shared" si="0"/>
        <v>0</v>
      </c>
      <c r="AH118" s="477">
        <f t="shared" si="1"/>
        <v>0</v>
      </c>
      <c r="AI118" s="477">
        <f t="shared" si="2"/>
        <v>0</v>
      </c>
      <c r="AJ118" s="653"/>
      <c r="AK118" s="445"/>
      <c r="AL118" s="443"/>
      <c r="AM118" s="443"/>
      <c r="AN118" s="225"/>
      <c r="AO118" s="225"/>
      <c r="AP118" s="440">
        <f t="shared" si="3"/>
        <v>0</v>
      </c>
      <c r="AQ118" s="445"/>
    </row>
    <row r="119" spans="1:43" ht="12.6" thickBot="1" x14ac:dyDescent="0.3">
      <c r="A119" s="205" t="s">
        <v>149</v>
      </c>
      <c r="B119" s="122"/>
      <c r="C119" s="122"/>
      <c r="D119" s="122"/>
      <c r="E119" s="122"/>
      <c r="F119" s="122"/>
      <c r="G119" s="122"/>
      <c r="H119" s="122"/>
      <c r="I119" s="122"/>
      <c r="J119" s="122"/>
      <c r="K119" s="122"/>
      <c r="L119" s="122"/>
      <c r="M119" s="122"/>
      <c r="N119" s="122"/>
      <c r="O119" s="122"/>
      <c r="P119" s="122"/>
      <c r="Q119" s="122"/>
      <c r="R119" s="122"/>
      <c r="S119" s="122"/>
      <c r="T119" s="122"/>
      <c r="U119" s="122"/>
      <c r="V119" s="122"/>
      <c r="W119" s="122"/>
      <c r="X119" s="122"/>
      <c r="Y119" s="122"/>
      <c r="Z119" s="475"/>
      <c r="AA119" s="475"/>
      <c r="AB119" s="475"/>
      <c r="AC119" s="475">
        <f t="shared" ref="AC119:AI119" si="4">SUM(AC6:AC118)</f>
        <v>0</v>
      </c>
      <c r="AD119" s="220">
        <f t="shared" si="4"/>
        <v>0</v>
      </c>
      <c r="AE119" s="220">
        <f t="shared" si="4"/>
        <v>0</v>
      </c>
      <c r="AF119" s="220">
        <f t="shared" si="4"/>
        <v>0</v>
      </c>
      <c r="AG119" s="222">
        <f t="shared" si="4"/>
        <v>0</v>
      </c>
      <c r="AH119" s="222">
        <f t="shared" si="4"/>
        <v>0</v>
      </c>
      <c r="AI119" s="222">
        <f t="shared" si="4"/>
        <v>0</v>
      </c>
      <c r="AJ119" s="237">
        <v>0</v>
      </c>
      <c r="AK119" s="236"/>
      <c r="AL119" s="220"/>
      <c r="AM119" s="220">
        <f>SUM(AM6:AM118)</f>
        <v>0</v>
      </c>
      <c r="AN119" s="220">
        <f>SUM(AN6:AN118)</f>
        <v>0</v>
      </c>
      <c r="AO119" s="220">
        <f>SUM(AO6:AO118)</f>
        <v>0</v>
      </c>
      <c r="AP119" s="222">
        <f>SUM(AP6:AP118)</f>
        <v>0</v>
      </c>
      <c r="AQ119" s="222"/>
    </row>
    <row r="122" spans="1:43" ht="15.6" x14ac:dyDescent="0.3">
      <c r="AG122" s="123"/>
    </row>
    <row r="124" spans="1:43" x14ac:dyDescent="0.25">
      <c r="A124" s="116" t="s">
        <v>705</v>
      </c>
      <c r="B124" s="116">
        <f>('Indik_rozp.-ALFABASE'!AD120+Indik_rozp.YMS!AD120+'Indik_rozp.-ASPECTA'!AD120)/3</f>
        <v>11223.666666666666</v>
      </c>
    </row>
  </sheetData>
  <mergeCells count="7">
    <mergeCell ref="A1:B1"/>
    <mergeCell ref="C1:AQ1"/>
    <mergeCell ref="AL2:AQ2"/>
    <mergeCell ref="AQ4:AQ5"/>
    <mergeCell ref="Z2:AK2"/>
    <mergeCell ref="Z3:AC3"/>
    <mergeCell ref="AD3:AK3"/>
  </mergeCells>
  <conditionalFormatting sqref="C6:AC118">
    <cfRule type="colorScale" priority="1">
      <colorScale>
        <cfvo type="num" val="0"/>
        <cfvo type="num" val="1"/>
        <color theme="0"/>
        <color theme="2" tint="-0.249977111117893"/>
      </colorScale>
    </cfRule>
  </conditionalFormatting>
  <pageMargins left="0.7" right="0.7" top="0.75" bottom="0.75" header="0.3" footer="0.3"/>
  <pageSetup paperSize="9" scale="19" orientation="portrait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AQ122"/>
  <sheetViews>
    <sheetView showGridLines="0" zoomScaleNormal="100" zoomScaleSheetLayoutView="90" workbookViewId="0">
      <pane ySplit="5" topLeftCell="A102" activePane="bottomLeft" state="frozen"/>
      <selection pane="bottomLeft" activeCell="AD122" sqref="AD122"/>
    </sheetView>
  </sheetViews>
  <sheetFormatPr defaultColWidth="8.6640625" defaultRowHeight="12" x14ac:dyDescent="0.25"/>
  <cols>
    <col min="1" max="1" width="16.33203125" style="116" customWidth="1"/>
    <col min="2" max="2" width="40.109375" style="116" customWidth="1"/>
    <col min="3" max="3" width="3.33203125" style="116" customWidth="1"/>
    <col min="4" max="24" width="3.6640625" style="116" customWidth="1"/>
    <col min="25" max="25" width="4.44140625" style="116" customWidth="1"/>
    <col min="26" max="28" width="16.44140625" style="116" customWidth="1"/>
    <col min="29" max="29" width="18.109375" style="116" customWidth="1"/>
    <col min="30" max="30" width="9" style="116" customWidth="1"/>
    <col min="31" max="31" width="9.109375" style="116" customWidth="1"/>
    <col min="32" max="32" width="9" style="116" customWidth="1"/>
    <col min="33" max="33" width="10.6640625" style="117" customWidth="1"/>
    <col min="34" max="36" width="10.6640625" style="116" customWidth="1"/>
    <col min="37" max="37" width="52.109375" style="116" customWidth="1"/>
    <col min="38" max="38" width="51.6640625" style="116" customWidth="1"/>
    <col min="39" max="42" width="8.6640625" style="116"/>
    <col min="43" max="43" width="18.88671875" style="116" customWidth="1"/>
    <col min="44" max="16384" width="8.6640625" style="116"/>
  </cols>
  <sheetData>
    <row r="1" spans="1:43" ht="26.1" customHeight="1" thickBot="1" x14ac:dyDescent="0.35">
      <c r="A1" s="1206" t="s">
        <v>195</v>
      </c>
      <c r="B1" s="1207"/>
      <c r="C1" s="1206" t="s">
        <v>689</v>
      </c>
      <c r="D1" s="1208"/>
      <c r="E1" s="1208"/>
      <c r="F1" s="1208"/>
      <c r="G1" s="1208"/>
      <c r="H1" s="1208"/>
      <c r="I1" s="1208"/>
      <c r="J1" s="1208"/>
      <c r="K1" s="1208"/>
      <c r="L1" s="1208"/>
      <c r="M1" s="1208"/>
      <c r="N1" s="1208"/>
      <c r="O1" s="1208"/>
      <c r="P1" s="1208"/>
      <c r="Q1" s="1208"/>
      <c r="R1" s="1208"/>
      <c r="S1" s="1208"/>
      <c r="T1" s="1208"/>
      <c r="U1" s="1208"/>
      <c r="V1" s="1208"/>
      <c r="W1" s="1208"/>
      <c r="X1" s="1208"/>
      <c r="Y1" s="1208"/>
      <c r="Z1" s="1208"/>
      <c r="AA1" s="1208"/>
      <c r="AB1" s="1208"/>
      <c r="AC1" s="1208"/>
      <c r="AD1" s="1208"/>
      <c r="AE1" s="1208"/>
      <c r="AF1" s="1208"/>
      <c r="AG1" s="1208"/>
      <c r="AH1" s="1208"/>
      <c r="AI1" s="1208"/>
      <c r="AJ1" s="1208"/>
      <c r="AK1" s="1208"/>
      <c r="AL1" s="1208"/>
      <c r="AM1" s="1208"/>
      <c r="AN1" s="1208"/>
      <c r="AO1" s="1208"/>
      <c r="AP1" s="1208"/>
      <c r="AQ1" s="1208"/>
    </row>
    <row r="2" spans="1:43" ht="12.6" thickBot="1" x14ac:dyDescent="0.3">
      <c r="A2" s="213"/>
      <c r="B2" s="212"/>
      <c r="C2" s="214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5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5"/>
      <c r="Z2" s="1214" t="s">
        <v>228</v>
      </c>
      <c r="AA2" s="1215"/>
      <c r="AB2" s="1215"/>
      <c r="AC2" s="1215"/>
      <c r="AD2" s="1215"/>
      <c r="AE2" s="1215"/>
      <c r="AF2" s="1215"/>
      <c r="AG2" s="1215"/>
      <c r="AH2" s="1215"/>
      <c r="AI2" s="1215"/>
      <c r="AJ2" s="1215"/>
      <c r="AK2" s="1216"/>
      <c r="AL2" s="1209" t="s">
        <v>227</v>
      </c>
      <c r="AM2" s="1210"/>
      <c r="AN2" s="1210"/>
      <c r="AO2" s="1210"/>
      <c r="AP2" s="1210"/>
      <c r="AQ2" s="1211"/>
    </row>
    <row r="3" spans="1:43" ht="11.1" customHeight="1" thickBot="1" x14ac:dyDescent="0.3">
      <c r="A3" s="242"/>
      <c r="B3" s="240"/>
      <c r="C3" s="241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39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39"/>
      <c r="Z3" s="1209" t="s">
        <v>285</v>
      </c>
      <c r="AA3" s="1210"/>
      <c r="AB3" s="1210"/>
      <c r="AC3" s="1210"/>
      <c r="AD3" s="1209" t="s">
        <v>286</v>
      </c>
      <c r="AE3" s="1210"/>
      <c r="AF3" s="1210"/>
      <c r="AG3" s="1210"/>
      <c r="AH3" s="1210"/>
      <c r="AI3" s="1210"/>
      <c r="AJ3" s="1210"/>
      <c r="AK3" s="1211"/>
      <c r="AL3" s="218"/>
      <c r="AM3" s="219"/>
      <c r="AN3" s="219"/>
      <c r="AO3" s="219"/>
      <c r="AP3" s="219"/>
      <c r="AQ3" s="210"/>
    </row>
    <row r="4" spans="1:43" ht="48" customHeight="1" x14ac:dyDescent="0.25">
      <c r="A4" s="242" t="s">
        <v>196</v>
      </c>
      <c r="B4" s="497" t="s">
        <v>297</v>
      </c>
      <c r="C4" s="241" t="s">
        <v>119</v>
      </c>
      <c r="D4" s="240" t="s">
        <v>120</v>
      </c>
      <c r="E4" s="240" t="s">
        <v>121</v>
      </c>
      <c r="F4" s="240" t="s">
        <v>122</v>
      </c>
      <c r="G4" s="240" t="s">
        <v>123</v>
      </c>
      <c r="H4" s="240" t="s">
        <v>124</v>
      </c>
      <c r="I4" s="240" t="s">
        <v>125</v>
      </c>
      <c r="J4" s="240" t="s">
        <v>126</v>
      </c>
      <c r="K4" s="240" t="s">
        <v>127</v>
      </c>
      <c r="L4" s="240" t="s">
        <v>128</v>
      </c>
      <c r="M4" s="240" t="s">
        <v>129</v>
      </c>
      <c r="N4" s="239" t="s">
        <v>130</v>
      </c>
      <c r="O4" s="240" t="s">
        <v>131</v>
      </c>
      <c r="P4" s="240" t="s">
        <v>132</v>
      </c>
      <c r="Q4" s="240" t="s">
        <v>133</v>
      </c>
      <c r="R4" s="240" t="s">
        <v>134</v>
      </c>
      <c r="S4" s="240" t="s">
        <v>135</v>
      </c>
      <c r="T4" s="240" t="s">
        <v>136</v>
      </c>
      <c r="U4" s="240" t="s">
        <v>137</v>
      </c>
      <c r="V4" s="240" t="s">
        <v>138</v>
      </c>
      <c r="W4" s="240" t="s">
        <v>139</v>
      </c>
      <c r="X4" s="240" t="s">
        <v>140</v>
      </c>
      <c r="Y4" s="239" t="s">
        <v>141</v>
      </c>
      <c r="Z4" s="214" t="s">
        <v>287</v>
      </c>
      <c r="AA4" s="212" t="s">
        <v>288</v>
      </c>
      <c r="AB4" s="212" t="s">
        <v>289</v>
      </c>
      <c r="AC4" s="212" t="s">
        <v>290</v>
      </c>
      <c r="AD4" s="216" t="s">
        <v>188</v>
      </c>
      <c r="AE4" s="217" t="s">
        <v>189</v>
      </c>
      <c r="AF4" s="217" t="s">
        <v>190</v>
      </c>
      <c r="AG4" s="210" t="s">
        <v>192</v>
      </c>
      <c r="AH4" s="210" t="s">
        <v>191</v>
      </c>
      <c r="AI4" s="210" t="s">
        <v>150</v>
      </c>
      <c r="AJ4" s="476" t="s">
        <v>194</v>
      </c>
      <c r="AK4" s="476" t="s">
        <v>197</v>
      </c>
      <c r="AL4" s="476" t="s">
        <v>226</v>
      </c>
      <c r="AM4" s="216" t="s">
        <v>188</v>
      </c>
      <c r="AN4" s="217" t="s">
        <v>189</v>
      </c>
      <c r="AO4" s="217" t="s">
        <v>190</v>
      </c>
      <c r="AP4" s="210" t="s">
        <v>192</v>
      </c>
      <c r="AQ4" s="1212" t="s">
        <v>225</v>
      </c>
    </row>
    <row r="5" spans="1:43" ht="8.25" customHeight="1" thickBot="1" x14ac:dyDescent="0.3">
      <c r="A5" s="118"/>
      <c r="B5" s="119"/>
      <c r="C5" s="120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21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21"/>
      <c r="Z5" s="120"/>
      <c r="AA5" s="119"/>
      <c r="AB5" s="119"/>
      <c r="AC5" s="119"/>
      <c r="AD5" s="218"/>
      <c r="AE5" s="219"/>
      <c r="AF5" s="219"/>
      <c r="AG5" s="221"/>
      <c r="AH5" s="221"/>
      <c r="AI5" s="221"/>
      <c r="AJ5" s="652"/>
      <c r="AK5" s="238"/>
      <c r="AL5" s="223"/>
      <c r="AM5" s="218"/>
      <c r="AN5" s="219"/>
      <c r="AO5" s="219"/>
      <c r="AP5" s="221"/>
      <c r="AQ5" s="1213"/>
    </row>
    <row r="6" spans="1:43" ht="36" x14ac:dyDescent="0.25">
      <c r="A6" s="659" t="s">
        <v>690</v>
      </c>
      <c r="B6" s="660" t="s">
        <v>387</v>
      </c>
      <c r="C6" s="950"/>
      <c r="D6" s="951"/>
      <c r="E6" s="951"/>
      <c r="F6" s="951"/>
      <c r="G6" s="951"/>
      <c r="H6" s="951"/>
      <c r="I6" s="951"/>
      <c r="J6" s="951"/>
      <c r="K6" s="951"/>
      <c r="L6" s="951"/>
      <c r="M6" s="951"/>
      <c r="N6" s="952"/>
      <c r="O6" s="951"/>
      <c r="P6" s="951"/>
      <c r="Q6" s="951"/>
      <c r="R6" s="951"/>
      <c r="S6" s="951"/>
      <c r="T6" s="951"/>
      <c r="U6" s="951"/>
      <c r="V6" s="951"/>
      <c r="W6" s="662"/>
      <c r="X6" s="662"/>
      <c r="Y6" s="663"/>
      <c r="Z6" s="664"/>
      <c r="AA6" s="665"/>
      <c r="AB6" s="665"/>
      <c r="AC6" s="666"/>
      <c r="AD6" s="667">
        <v>9400</v>
      </c>
      <c r="AE6" s="668">
        <v>10200</v>
      </c>
      <c r="AF6" s="676">
        <v>920</v>
      </c>
      <c r="AG6" s="440">
        <f>AD6*AF6</f>
        <v>8648000</v>
      </c>
      <c r="AH6" s="440">
        <f>AE6*AF6</f>
        <v>9384000</v>
      </c>
      <c r="AI6" s="440">
        <f t="shared" ref="AI6" si="0">AH6-AG6</f>
        <v>736000</v>
      </c>
      <c r="AJ6" s="652">
        <v>1172080</v>
      </c>
      <c r="AK6" s="669"/>
      <c r="AL6" s="441"/>
      <c r="AM6" s="667"/>
      <c r="AN6" s="668"/>
      <c r="AO6" s="668"/>
      <c r="AP6" s="440">
        <f t="shared" ref="AP6:AP118" si="1">AM6*AO6</f>
        <v>0</v>
      </c>
      <c r="AQ6" s="669"/>
    </row>
    <row r="7" spans="1:43" x14ac:dyDescent="0.25">
      <c r="A7" s="670"/>
      <c r="B7" s="671" t="s">
        <v>426</v>
      </c>
      <c r="C7" s="661"/>
      <c r="D7" s="662"/>
      <c r="E7" s="662"/>
      <c r="F7" s="662"/>
      <c r="G7" s="662"/>
      <c r="H7" s="662"/>
      <c r="I7" s="662"/>
      <c r="J7" s="662"/>
      <c r="K7" s="662"/>
      <c r="L7" s="662"/>
      <c r="M7" s="662"/>
      <c r="N7" s="663"/>
      <c r="O7" s="662"/>
      <c r="P7" s="662"/>
      <c r="Q7" s="662"/>
      <c r="R7" s="662"/>
      <c r="S7" s="662"/>
      <c r="T7" s="662"/>
      <c r="U7" s="662"/>
      <c r="V7" s="662"/>
      <c r="W7" s="662"/>
      <c r="X7" s="662"/>
      <c r="Y7" s="663"/>
      <c r="Z7" s="672"/>
      <c r="AA7" s="673"/>
      <c r="AB7" s="673"/>
      <c r="AC7" s="674"/>
      <c r="AD7" s="675"/>
      <c r="AE7" s="676"/>
      <c r="AG7" s="440"/>
      <c r="AH7" s="440"/>
      <c r="AI7" s="440"/>
      <c r="AJ7" s="652"/>
      <c r="AK7" s="677"/>
      <c r="AL7" s="441"/>
      <c r="AM7" s="675"/>
      <c r="AN7" s="676"/>
      <c r="AO7" s="676"/>
      <c r="AP7" s="440"/>
      <c r="AQ7" s="677"/>
    </row>
    <row r="8" spans="1:43" x14ac:dyDescent="0.25">
      <c r="A8" s="670"/>
      <c r="B8" s="671" t="s">
        <v>388</v>
      </c>
      <c r="C8" s="661"/>
      <c r="D8" s="662"/>
      <c r="E8" s="662"/>
      <c r="F8" s="662"/>
      <c r="G8" s="662"/>
      <c r="H8" s="662"/>
      <c r="I8" s="662"/>
      <c r="J8" s="662"/>
      <c r="K8" s="662"/>
      <c r="L8" s="662"/>
      <c r="M8" s="662"/>
      <c r="N8" s="663"/>
      <c r="O8" s="662"/>
      <c r="P8" s="662"/>
      <c r="Q8" s="662"/>
      <c r="R8" s="662"/>
      <c r="S8" s="662"/>
      <c r="T8" s="662"/>
      <c r="U8" s="662"/>
      <c r="V8" s="662"/>
      <c r="W8" s="662"/>
      <c r="X8" s="662"/>
      <c r="Y8" s="663"/>
      <c r="Z8" s="672"/>
      <c r="AA8" s="673"/>
      <c r="AB8" s="673"/>
      <c r="AC8" s="674"/>
      <c r="AD8" s="675"/>
      <c r="AE8" s="676"/>
      <c r="AF8" s="676"/>
      <c r="AG8" s="440"/>
      <c r="AH8" s="440"/>
      <c r="AI8" s="440"/>
      <c r="AJ8" s="652"/>
      <c r="AK8" s="677"/>
      <c r="AL8" s="441"/>
      <c r="AM8" s="675"/>
      <c r="AN8" s="676"/>
      <c r="AO8" s="676"/>
      <c r="AP8" s="440"/>
      <c r="AQ8" s="677"/>
    </row>
    <row r="9" spans="1:43" ht="24" x14ac:dyDescent="0.25">
      <c r="A9" s="670"/>
      <c r="B9" s="671" t="s">
        <v>429</v>
      </c>
      <c r="C9" s="661"/>
      <c r="D9" s="662"/>
      <c r="E9" s="662"/>
      <c r="F9" s="662"/>
      <c r="G9" s="662"/>
      <c r="H9" s="662"/>
      <c r="I9" s="662"/>
      <c r="J9" s="662"/>
      <c r="K9" s="662"/>
      <c r="L9" s="662"/>
      <c r="M9" s="662"/>
      <c r="N9" s="663"/>
      <c r="O9" s="662"/>
      <c r="P9" s="662"/>
      <c r="Q9" s="662"/>
      <c r="R9" s="662"/>
      <c r="S9" s="662"/>
      <c r="T9" s="662"/>
      <c r="U9" s="662"/>
      <c r="V9" s="662"/>
      <c r="W9" s="662"/>
      <c r="X9" s="662"/>
      <c r="Y9" s="663"/>
      <c r="Z9" s="672"/>
      <c r="AA9" s="673"/>
      <c r="AB9" s="673"/>
      <c r="AC9" s="674"/>
      <c r="AD9" s="675"/>
      <c r="AE9" s="676"/>
      <c r="AF9" s="676"/>
      <c r="AG9" s="440"/>
      <c r="AH9" s="440"/>
      <c r="AI9" s="440"/>
      <c r="AJ9" s="652"/>
      <c r="AK9" s="677"/>
      <c r="AL9" s="441"/>
      <c r="AM9" s="675"/>
      <c r="AN9" s="676"/>
      <c r="AO9" s="676"/>
      <c r="AP9" s="440"/>
      <c r="AQ9" s="677"/>
    </row>
    <row r="10" spans="1:43" ht="24" x14ac:dyDescent="0.25">
      <c r="A10" s="670"/>
      <c r="B10" s="671" t="s">
        <v>389</v>
      </c>
      <c r="C10" s="661"/>
      <c r="D10" s="662"/>
      <c r="E10" s="662"/>
      <c r="F10" s="662"/>
      <c r="G10" s="662"/>
      <c r="H10" s="662"/>
      <c r="I10" s="662"/>
      <c r="J10" s="662"/>
      <c r="K10" s="662"/>
      <c r="L10" s="662"/>
      <c r="M10" s="662"/>
      <c r="N10" s="663"/>
      <c r="O10" s="662"/>
      <c r="P10" s="662"/>
      <c r="Q10" s="662"/>
      <c r="R10" s="662"/>
      <c r="S10" s="662"/>
      <c r="T10" s="662"/>
      <c r="U10" s="662"/>
      <c r="V10" s="662"/>
      <c r="W10" s="662"/>
      <c r="X10" s="662"/>
      <c r="Y10" s="663"/>
      <c r="Z10" s="672"/>
      <c r="AA10" s="673"/>
      <c r="AB10" s="673"/>
      <c r="AC10" s="674"/>
      <c r="AD10" s="675"/>
      <c r="AE10" s="676"/>
      <c r="AF10" s="676"/>
      <c r="AG10" s="440"/>
      <c r="AH10" s="440"/>
      <c r="AI10" s="440"/>
      <c r="AJ10" s="652"/>
      <c r="AK10" s="677"/>
      <c r="AL10" s="441"/>
      <c r="AM10" s="675"/>
      <c r="AN10" s="676"/>
      <c r="AO10" s="676"/>
      <c r="AP10" s="440"/>
      <c r="AQ10" s="677"/>
    </row>
    <row r="11" spans="1:43" ht="72" x14ac:dyDescent="0.25">
      <c r="A11" s="670"/>
      <c r="B11" s="671" t="s">
        <v>427</v>
      </c>
      <c r="C11" s="661"/>
      <c r="D11" s="662"/>
      <c r="E11" s="662"/>
      <c r="F11" s="662"/>
      <c r="G11" s="662"/>
      <c r="H11" s="662"/>
      <c r="I11" s="662"/>
      <c r="J11" s="662"/>
      <c r="K11" s="662"/>
      <c r="L11" s="662"/>
      <c r="M11" s="662"/>
      <c r="N11" s="663"/>
      <c r="O11" s="662"/>
      <c r="P11" s="662"/>
      <c r="Q11" s="662"/>
      <c r="R11" s="662"/>
      <c r="S11" s="662"/>
      <c r="T11" s="662"/>
      <c r="U11" s="662"/>
      <c r="V11" s="662"/>
      <c r="W11" s="662"/>
      <c r="X11" s="662"/>
      <c r="Y11" s="663"/>
      <c r="Z11" s="672"/>
      <c r="AA11" s="673"/>
      <c r="AB11" s="673"/>
      <c r="AC11" s="674"/>
      <c r="AD11" s="675"/>
      <c r="AE11" s="676"/>
      <c r="AF11" s="676"/>
      <c r="AG11" s="440"/>
      <c r="AH11" s="440"/>
      <c r="AI11" s="440"/>
      <c r="AJ11" s="652"/>
      <c r="AK11" s="677"/>
      <c r="AL11" s="441"/>
      <c r="AM11" s="675"/>
      <c r="AN11" s="676"/>
      <c r="AO11" s="676"/>
      <c r="AP11" s="440"/>
      <c r="AQ11" s="677"/>
    </row>
    <row r="12" spans="1:43" x14ac:dyDescent="0.25">
      <c r="A12" s="670"/>
      <c r="B12" s="671" t="s">
        <v>428</v>
      </c>
      <c r="C12" s="661"/>
      <c r="D12" s="662"/>
      <c r="E12" s="662"/>
      <c r="F12" s="662"/>
      <c r="G12" s="662"/>
      <c r="H12" s="662"/>
      <c r="I12" s="662"/>
      <c r="J12" s="662"/>
      <c r="K12" s="662"/>
      <c r="L12" s="662"/>
      <c r="M12" s="662"/>
      <c r="N12" s="663"/>
      <c r="O12" s="662"/>
      <c r="P12" s="662"/>
      <c r="Q12" s="662"/>
      <c r="R12" s="662"/>
      <c r="S12" s="662"/>
      <c r="T12" s="662"/>
      <c r="U12" s="662"/>
      <c r="V12" s="662"/>
      <c r="W12" s="662"/>
      <c r="X12" s="662"/>
      <c r="Y12" s="663"/>
      <c r="Z12" s="672"/>
      <c r="AA12" s="673"/>
      <c r="AB12" s="673"/>
      <c r="AC12" s="674"/>
      <c r="AD12" s="675"/>
      <c r="AE12" s="676"/>
      <c r="AF12" s="676"/>
      <c r="AG12" s="440"/>
      <c r="AH12" s="440"/>
      <c r="AI12" s="440"/>
      <c r="AJ12" s="652"/>
      <c r="AK12" s="677"/>
      <c r="AL12" s="441"/>
      <c r="AM12" s="675"/>
      <c r="AN12" s="676"/>
      <c r="AO12" s="676"/>
      <c r="AP12" s="440"/>
      <c r="AQ12" s="677"/>
    </row>
    <row r="13" spans="1:43" ht="24" x14ac:dyDescent="0.25">
      <c r="A13" s="670"/>
      <c r="B13" s="671" t="s">
        <v>383</v>
      </c>
      <c r="C13" s="661"/>
      <c r="D13" s="662"/>
      <c r="E13" s="662"/>
      <c r="F13" s="662"/>
      <c r="G13" s="662"/>
      <c r="H13" s="662"/>
      <c r="I13" s="662"/>
      <c r="J13" s="662"/>
      <c r="K13" s="662"/>
      <c r="L13" s="662"/>
      <c r="M13" s="662"/>
      <c r="N13" s="663"/>
      <c r="O13" s="662"/>
      <c r="P13" s="662"/>
      <c r="Q13" s="662"/>
      <c r="R13" s="662"/>
      <c r="S13" s="662"/>
      <c r="T13" s="662"/>
      <c r="U13" s="662"/>
      <c r="V13" s="662"/>
      <c r="W13" s="662"/>
      <c r="X13" s="662"/>
      <c r="Y13" s="663"/>
      <c r="Z13" s="672"/>
      <c r="AA13" s="673"/>
      <c r="AB13" s="673"/>
      <c r="AC13" s="674"/>
      <c r="AD13" s="675"/>
      <c r="AE13" s="676"/>
      <c r="AF13" s="676"/>
      <c r="AG13" s="440"/>
      <c r="AH13" s="440"/>
      <c r="AI13" s="440"/>
      <c r="AJ13" s="652"/>
      <c r="AK13" s="677"/>
      <c r="AL13" s="441"/>
      <c r="AM13" s="675"/>
      <c r="AN13" s="676"/>
      <c r="AO13" s="676"/>
      <c r="AP13" s="440"/>
      <c r="AQ13" s="677"/>
    </row>
    <row r="14" spans="1:43" x14ac:dyDescent="0.25">
      <c r="A14" s="670"/>
      <c r="B14" s="671" t="s">
        <v>390</v>
      </c>
      <c r="C14" s="661"/>
      <c r="D14" s="662"/>
      <c r="E14" s="662"/>
      <c r="F14" s="662"/>
      <c r="G14" s="662"/>
      <c r="H14" s="662"/>
      <c r="I14" s="662"/>
      <c r="J14" s="662"/>
      <c r="K14" s="662"/>
      <c r="L14" s="662"/>
      <c r="M14" s="662"/>
      <c r="N14" s="663"/>
      <c r="O14" s="662"/>
      <c r="P14" s="662"/>
      <c r="Q14" s="662"/>
      <c r="R14" s="662"/>
      <c r="S14" s="662"/>
      <c r="T14" s="662"/>
      <c r="U14" s="662"/>
      <c r="V14" s="662"/>
      <c r="W14" s="662"/>
      <c r="X14" s="662"/>
      <c r="Y14" s="663"/>
      <c r="Z14" s="672"/>
      <c r="AA14" s="673"/>
      <c r="AB14" s="673"/>
      <c r="AC14" s="674"/>
      <c r="AD14" s="675"/>
      <c r="AE14" s="676"/>
      <c r="AF14" s="676"/>
      <c r="AG14" s="440"/>
      <c r="AH14" s="440"/>
      <c r="AI14" s="440"/>
      <c r="AJ14" s="652"/>
      <c r="AK14" s="677"/>
      <c r="AL14" s="441"/>
      <c r="AM14" s="675"/>
      <c r="AN14" s="676"/>
      <c r="AO14" s="676"/>
      <c r="AP14" s="440"/>
      <c r="AQ14" s="677"/>
    </row>
    <row r="15" spans="1:43" ht="84" x14ac:dyDescent="0.25">
      <c r="A15" s="670"/>
      <c r="B15" s="671" t="s">
        <v>384</v>
      </c>
      <c r="C15" s="661"/>
      <c r="D15" s="662"/>
      <c r="E15" s="662"/>
      <c r="F15" s="662"/>
      <c r="G15" s="662"/>
      <c r="H15" s="662"/>
      <c r="I15" s="662"/>
      <c r="J15" s="662"/>
      <c r="K15" s="662"/>
      <c r="L15" s="662"/>
      <c r="M15" s="662"/>
      <c r="N15" s="663"/>
      <c r="O15" s="662"/>
      <c r="P15" s="662"/>
      <c r="Q15" s="662"/>
      <c r="R15" s="662"/>
      <c r="S15" s="662"/>
      <c r="T15" s="662"/>
      <c r="U15" s="662"/>
      <c r="V15" s="662"/>
      <c r="W15" s="662"/>
      <c r="X15" s="662"/>
      <c r="Y15" s="663"/>
      <c r="Z15" s="672"/>
      <c r="AA15" s="673"/>
      <c r="AB15" s="673"/>
      <c r="AC15" s="674"/>
      <c r="AD15" s="675"/>
      <c r="AE15" s="676"/>
      <c r="AF15" s="676"/>
      <c r="AG15" s="440"/>
      <c r="AH15" s="440"/>
      <c r="AI15" s="440"/>
      <c r="AJ15" s="652"/>
      <c r="AK15" s="677"/>
      <c r="AL15" s="441"/>
      <c r="AM15" s="675"/>
      <c r="AN15" s="676"/>
      <c r="AO15" s="676"/>
      <c r="AP15" s="440"/>
      <c r="AQ15" s="677"/>
    </row>
    <row r="16" spans="1:43" x14ac:dyDescent="0.25">
      <c r="A16" s="670"/>
      <c r="B16" s="671" t="s">
        <v>391</v>
      </c>
      <c r="C16" s="661"/>
      <c r="D16" s="662"/>
      <c r="E16" s="662"/>
      <c r="F16" s="662"/>
      <c r="G16" s="662"/>
      <c r="H16" s="662"/>
      <c r="I16" s="662"/>
      <c r="J16" s="662"/>
      <c r="K16" s="662"/>
      <c r="L16" s="662"/>
      <c r="M16" s="662"/>
      <c r="N16" s="663"/>
      <c r="O16" s="662"/>
      <c r="P16" s="662"/>
      <c r="Q16" s="662"/>
      <c r="R16" s="662"/>
      <c r="S16" s="662"/>
      <c r="T16" s="662"/>
      <c r="U16" s="662"/>
      <c r="V16" s="662"/>
      <c r="W16" s="662"/>
      <c r="X16" s="662"/>
      <c r="Y16" s="663"/>
      <c r="Z16" s="672"/>
      <c r="AA16" s="673"/>
      <c r="AB16" s="673"/>
      <c r="AC16" s="674"/>
      <c r="AD16" s="675"/>
      <c r="AE16" s="676"/>
      <c r="AF16" s="676"/>
      <c r="AG16" s="440"/>
      <c r="AH16" s="440"/>
      <c r="AI16" s="440"/>
      <c r="AJ16" s="652"/>
      <c r="AK16" s="677"/>
      <c r="AL16" s="441"/>
      <c r="AM16" s="675"/>
      <c r="AN16" s="676"/>
      <c r="AO16" s="676"/>
      <c r="AP16" s="440"/>
      <c r="AQ16" s="677"/>
    </row>
    <row r="17" spans="1:43" ht="24" x14ac:dyDescent="0.25">
      <c r="A17" s="670"/>
      <c r="B17" s="671" t="s">
        <v>385</v>
      </c>
      <c r="C17" s="661"/>
      <c r="D17" s="662"/>
      <c r="E17" s="662"/>
      <c r="F17" s="662"/>
      <c r="G17" s="662"/>
      <c r="H17" s="662"/>
      <c r="I17" s="662"/>
      <c r="J17" s="662"/>
      <c r="K17" s="662"/>
      <c r="L17" s="662"/>
      <c r="M17" s="662"/>
      <c r="N17" s="663"/>
      <c r="O17" s="662"/>
      <c r="P17" s="662"/>
      <c r="Q17" s="662"/>
      <c r="R17" s="662"/>
      <c r="S17" s="662"/>
      <c r="T17" s="662"/>
      <c r="U17" s="662"/>
      <c r="V17" s="662"/>
      <c r="W17" s="662"/>
      <c r="X17" s="662"/>
      <c r="Y17" s="663"/>
      <c r="Z17" s="672"/>
      <c r="AA17" s="673"/>
      <c r="AB17" s="673"/>
      <c r="AC17" s="674"/>
      <c r="AD17" s="675"/>
      <c r="AE17" s="676"/>
      <c r="AF17" s="676"/>
      <c r="AG17" s="440"/>
      <c r="AH17" s="440"/>
      <c r="AI17" s="440"/>
      <c r="AJ17" s="652"/>
      <c r="AK17" s="677"/>
      <c r="AL17" s="441"/>
      <c r="AM17" s="675"/>
      <c r="AN17" s="676"/>
      <c r="AO17" s="676"/>
      <c r="AP17" s="440"/>
      <c r="AQ17" s="677"/>
    </row>
    <row r="18" spans="1:43" x14ac:dyDescent="0.25">
      <c r="A18" s="670"/>
      <c r="B18" s="671" t="s">
        <v>392</v>
      </c>
      <c r="C18" s="661"/>
      <c r="D18" s="662"/>
      <c r="E18" s="662"/>
      <c r="F18" s="662"/>
      <c r="G18" s="662"/>
      <c r="H18" s="662"/>
      <c r="I18" s="662"/>
      <c r="J18" s="662"/>
      <c r="K18" s="662"/>
      <c r="L18" s="662"/>
      <c r="M18" s="662"/>
      <c r="N18" s="663"/>
      <c r="O18" s="662"/>
      <c r="P18" s="662"/>
      <c r="Q18" s="662"/>
      <c r="R18" s="662"/>
      <c r="S18" s="662"/>
      <c r="T18" s="662"/>
      <c r="U18" s="662"/>
      <c r="V18" s="662"/>
      <c r="W18" s="662"/>
      <c r="X18" s="662"/>
      <c r="Y18" s="663"/>
      <c r="Z18" s="672"/>
      <c r="AA18" s="673"/>
      <c r="AB18" s="673"/>
      <c r="AC18" s="674"/>
      <c r="AD18" s="675"/>
      <c r="AE18" s="676"/>
      <c r="AF18" s="676"/>
      <c r="AG18" s="440"/>
      <c r="AH18" s="440"/>
      <c r="AI18" s="440"/>
      <c r="AJ18" s="652"/>
      <c r="AK18" s="677"/>
      <c r="AL18" s="441"/>
      <c r="AM18" s="675"/>
      <c r="AN18" s="676"/>
      <c r="AO18" s="676"/>
      <c r="AP18" s="440"/>
      <c r="AQ18" s="677"/>
    </row>
    <row r="19" spans="1:43" ht="48" x14ac:dyDescent="0.25">
      <c r="A19" s="670"/>
      <c r="B19" s="671" t="s">
        <v>386</v>
      </c>
      <c r="C19" s="661"/>
      <c r="D19" s="662"/>
      <c r="E19" s="662"/>
      <c r="F19" s="662"/>
      <c r="G19" s="662"/>
      <c r="H19" s="662"/>
      <c r="I19" s="662"/>
      <c r="J19" s="662"/>
      <c r="K19" s="662"/>
      <c r="L19" s="662"/>
      <c r="M19" s="662"/>
      <c r="N19" s="663"/>
      <c r="O19" s="662"/>
      <c r="P19" s="662"/>
      <c r="Q19" s="662"/>
      <c r="R19" s="662"/>
      <c r="S19" s="662"/>
      <c r="T19" s="662"/>
      <c r="U19" s="662"/>
      <c r="V19" s="662"/>
      <c r="W19" s="662"/>
      <c r="X19" s="662"/>
      <c r="Y19" s="663"/>
      <c r="Z19" s="672"/>
      <c r="AA19" s="673"/>
      <c r="AB19" s="673"/>
      <c r="AC19" s="674"/>
      <c r="AD19" s="675"/>
      <c r="AE19" s="676"/>
      <c r="AF19" s="676"/>
      <c r="AG19" s="440"/>
      <c r="AH19" s="440"/>
      <c r="AI19" s="440"/>
      <c r="AJ19" s="652"/>
      <c r="AK19" s="677"/>
      <c r="AL19" s="441"/>
      <c r="AM19" s="675"/>
      <c r="AN19" s="676"/>
      <c r="AO19" s="676"/>
      <c r="AP19" s="440"/>
      <c r="AQ19" s="677"/>
    </row>
    <row r="20" spans="1:43" x14ac:dyDescent="0.25">
      <c r="A20" s="670"/>
      <c r="B20" s="671" t="s">
        <v>393</v>
      </c>
      <c r="C20" s="661"/>
      <c r="D20" s="662"/>
      <c r="E20" s="662"/>
      <c r="F20" s="662"/>
      <c r="G20" s="662"/>
      <c r="H20" s="662"/>
      <c r="I20" s="662"/>
      <c r="J20" s="662"/>
      <c r="K20" s="662"/>
      <c r="L20" s="662"/>
      <c r="M20" s="662"/>
      <c r="N20" s="663"/>
      <c r="O20" s="662"/>
      <c r="P20" s="662"/>
      <c r="Q20" s="662"/>
      <c r="R20" s="662"/>
      <c r="S20" s="662"/>
      <c r="T20" s="662"/>
      <c r="U20" s="662"/>
      <c r="V20" s="662"/>
      <c r="W20" s="662"/>
      <c r="X20" s="662"/>
      <c r="Y20" s="663"/>
      <c r="Z20" s="672"/>
      <c r="AA20" s="673"/>
      <c r="AB20" s="673"/>
      <c r="AC20" s="674"/>
      <c r="AD20" s="675"/>
      <c r="AE20" s="676"/>
      <c r="AF20" s="676"/>
      <c r="AG20" s="440"/>
      <c r="AH20" s="440"/>
      <c r="AI20" s="440"/>
      <c r="AJ20" s="652"/>
      <c r="AK20" s="677"/>
      <c r="AL20" s="441"/>
      <c r="AM20" s="675"/>
      <c r="AN20" s="676"/>
      <c r="AO20" s="676"/>
      <c r="AP20" s="440"/>
      <c r="AQ20" s="677"/>
    </row>
    <row r="21" spans="1:43" x14ac:dyDescent="0.25">
      <c r="A21" s="670"/>
      <c r="B21" s="671" t="s">
        <v>394</v>
      </c>
      <c r="C21" s="661"/>
      <c r="D21" s="662"/>
      <c r="E21" s="662"/>
      <c r="F21" s="662"/>
      <c r="G21" s="662"/>
      <c r="H21" s="662"/>
      <c r="I21" s="662"/>
      <c r="J21" s="662"/>
      <c r="K21" s="662"/>
      <c r="L21" s="662"/>
      <c r="M21" s="662"/>
      <c r="N21" s="663"/>
      <c r="O21" s="662"/>
      <c r="P21" s="662"/>
      <c r="Q21" s="662"/>
      <c r="R21" s="662"/>
      <c r="S21" s="662"/>
      <c r="T21" s="662"/>
      <c r="U21" s="662"/>
      <c r="V21" s="662"/>
      <c r="W21" s="662"/>
      <c r="X21" s="662"/>
      <c r="Y21" s="663"/>
      <c r="Z21" s="672"/>
      <c r="AA21" s="673"/>
      <c r="AB21" s="673"/>
      <c r="AC21" s="674"/>
      <c r="AD21" s="675"/>
      <c r="AE21" s="676"/>
      <c r="AF21" s="676"/>
      <c r="AG21" s="440"/>
      <c r="AH21" s="440"/>
      <c r="AI21" s="440"/>
      <c r="AJ21" s="652"/>
      <c r="AK21" s="677"/>
      <c r="AL21" s="441"/>
      <c r="AM21" s="675"/>
      <c r="AN21" s="676"/>
      <c r="AO21" s="676"/>
      <c r="AP21" s="440"/>
      <c r="AQ21" s="677"/>
    </row>
    <row r="22" spans="1:43" ht="24" x14ac:dyDescent="0.25">
      <c r="A22" s="670"/>
      <c r="B22" s="671" t="s">
        <v>395</v>
      </c>
      <c r="C22" s="661"/>
      <c r="D22" s="662"/>
      <c r="E22" s="662"/>
      <c r="F22" s="662"/>
      <c r="G22" s="662"/>
      <c r="H22" s="662"/>
      <c r="I22" s="662"/>
      <c r="J22" s="662"/>
      <c r="K22" s="662"/>
      <c r="L22" s="662"/>
      <c r="M22" s="662"/>
      <c r="N22" s="663"/>
      <c r="O22" s="662"/>
      <c r="P22" s="662"/>
      <c r="Q22" s="662"/>
      <c r="R22" s="662"/>
      <c r="S22" s="662"/>
      <c r="T22" s="662"/>
      <c r="U22" s="662"/>
      <c r="V22" s="662"/>
      <c r="W22" s="662"/>
      <c r="X22" s="662"/>
      <c r="Y22" s="663"/>
      <c r="Z22" s="672"/>
      <c r="AA22" s="673"/>
      <c r="AB22" s="673"/>
      <c r="AC22" s="674"/>
      <c r="AD22" s="675"/>
      <c r="AE22" s="676"/>
      <c r="AF22" s="676"/>
      <c r="AG22" s="440"/>
      <c r="AH22" s="440"/>
      <c r="AI22" s="440"/>
      <c r="AJ22" s="652"/>
      <c r="AK22" s="677"/>
      <c r="AL22" s="441"/>
      <c r="AM22" s="675"/>
      <c r="AN22" s="676"/>
      <c r="AO22" s="676"/>
      <c r="AP22" s="440"/>
      <c r="AQ22" s="677"/>
    </row>
    <row r="23" spans="1:43" ht="24" x14ac:dyDescent="0.25">
      <c r="A23" s="670"/>
      <c r="B23" s="671" t="s">
        <v>396</v>
      </c>
      <c r="C23" s="661"/>
      <c r="D23" s="662"/>
      <c r="E23" s="662"/>
      <c r="F23" s="662"/>
      <c r="G23" s="662"/>
      <c r="H23" s="662"/>
      <c r="I23" s="662"/>
      <c r="J23" s="662"/>
      <c r="K23" s="662"/>
      <c r="L23" s="662"/>
      <c r="M23" s="662"/>
      <c r="N23" s="663"/>
      <c r="O23" s="662"/>
      <c r="P23" s="662"/>
      <c r="Q23" s="662"/>
      <c r="R23" s="662"/>
      <c r="S23" s="662"/>
      <c r="T23" s="662"/>
      <c r="U23" s="662"/>
      <c r="V23" s="662"/>
      <c r="W23" s="662"/>
      <c r="X23" s="662"/>
      <c r="Y23" s="663"/>
      <c r="Z23" s="672"/>
      <c r="AA23" s="673"/>
      <c r="AB23" s="673"/>
      <c r="AC23" s="674"/>
      <c r="AD23" s="675"/>
      <c r="AE23" s="676"/>
      <c r="AF23" s="676"/>
      <c r="AG23" s="440"/>
      <c r="AH23" s="440"/>
      <c r="AI23" s="440"/>
      <c r="AJ23" s="652"/>
      <c r="AK23" s="677"/>
      <c r="AL23" s="441"/>
      <c r="AM23" s="675"/>
      <c r="AN23" s="676"/>
      <c r="AO23" s="676"/>
      <c r="AP23" s="440"/>
      <c r="AQ23" s="677"/>
    </row>
    <row r="24" spans="1:43" ht="72" x14ac:dyDescent="0.25">
      <c r="A24" s="670"/>
      <c r="B24" s="671" t="s">
        <v>430</v>
      </c>
      <c r="C24" s="661"/>
      <c r="D24" s="662"/>
      <c r="E24" s="662"/>
      <c r="F24" s="662"/>
      <c r="G24" s="662"/>
      <c r="H24" s="662"/>
      <c r="I24" s="662"/>
      <c r="J24" s="662"/>
      <c r="K24" s="662"/>
      <c r="L24" s="662"/>
      <c r="M24" s="662"/>
      <c r="N24" s="663"/>
      <c r="O24" s="662"/>
      <c r="P24" s="662"/>
      <c r="Q24" s="662"/>
      <c r="R24" s="662"/>
      <c r="S24" s="662"/>
      <c r="T24" s="662"/>
      <c r="U24" s="662"/>
      <c r="V24" s="662"/>
      <c r="W24" s="662"/>
      <c r="X24" s="662"/>
      <c r="Y24" s="663"/>
      <c r="Z24" s="672"/>
      <c r="AA24" s="673"/>
      <c r="AB24" s="673"/>
      <c r="AC24" s="674"/>
      <c r="AD24" s="675"/>
      <c r="AE24" s="676"/>
      <c r="AF24" s="676"/>
      <c r="AG24" s="440"/>
      <c r="AH24" s="440"/>
      <c r="AI24" s="440"/>
      <c r="AJ24" s="652"/>
      <c r="AK24" s="677"/>
      <c r="AL24" s="441"/>
      <c r="AM24" s="675"/>
      <c r="AN24" s="676"/>
      <c r="AO24" s="676"/>
      <c r="AP24" s="440"/>
      <c r="AQ24" s="677"/>
    </row>
    <row r="25" spans="1:43" x14ac:dyDescent="0.25">
      <c r="A25" s="670"/>
      <c r="B25" s="671" t="s">
        <v>397</v>
      </c>
      <c r="C25" s="661"/>
      <c r="D25" s="662"/>
      <c r="E25" s="662"/>
      <c r="F25" s="662"/>
      <c r="G25" s="662"/>
      <c r="H25" s="662"/>
      <c r="I25" s="662"/>
      <c r="J25" s="662"/>
      <c r="K25" s="662"/>
      <c r="L25" s="662"/>
      <c r="M25" s="662"/>
      <c r="N25" s="663"/>
      <c r="O25" s="662"/>
      <c r="P25" s="662"/>
      <c r="Q25" s="662"/>
      <c r="R25" s="662"/>
      <c r="S25" s="662"/>
      <c r="T25" s="662"/>
      <c r="U25" s="662"/>
      <c r="V25" s="662"/>
      <c r="W25" s="662"/>
      <c r="X25" s="662"/>
      <c r="Y25" s="663"/>
      <c r="Z25" s="672"/>
      <c r="AA25" s="673"/>
      <c r="AB25" s="673"/>
      <c r="AC25" s="674"/>
      <c r="AD25" s="675"/>
      <c r="AE25" s="676"/>
      <c r="AF25" s="676"/>
      <c r="AG25" s="440"/>
      <c r="AH25" s="440"/>
      <c r="AI25" s="440"/>
      <c r="AJ25" s="652"/>
      <c r="AK25" s="677"/>
      <c r="AL25" s="441"/>
      <c r="AM25" s="675"/>
      <c r="AN25" s="676"/>
      <c r="AO25" s="676"/>
      <c r="AP25" s="440"/>
      <c r="AQ25" s="677"/>
    </row>
    <row r="26" spans="1:43" ht="48" x14ac:dyDescent="0.25">
      <c r="A26" s="670"/>
      <c r="B26" s="671" t="s">
        <v>398</v>
      </c>
      <c r="C26" s="661"/>
      <c r="D26" s="662"/>
      <c r="E26" s="662"/>
      <c r="F26" s="662"/>
      <c r="G26" s="662"/>
      <c r="H26" s="662"/>
      <c r="I26" s="662"/>
      <c r="J26" s="662"/>
      <c r="K26" s="662"/>
      <c r="L26" s="662"/>
      <c r="M26" s="662"/>
      <c r="N26" s="663"/>
      <c r="O26" s="662"/>
      <c r="P26" s="662"/>
      <c r="Q26" s="662"/>
      <c r="R26" s="662"/>
      <c r="S26" s="662"/>
      <c r="T26" s="662"/>
      <c r="U26" s="662"/>
      <c r="V26" s="662"/>
      <c r="W26" s="662"/>
      <c r="X26" s="662"/>
      <c r="Y26" s="663"/>
      <c r="Z26" s="672"/>
      <c r="AA26" s="673"/>
      <c r="AB26" s="673"/>
      <c r="AC26" s="674"/>
      <c r="AD26" s="675"/>
      <c r="AE26" s="676"/>
      <c r="AF26" s="676"/>
      <c r="AG26" s="440"/>
      <c r="AH26" s="440"/>
      <c r="AI26" s="440"/>
      <c r="AJ26" s="652"/>
      <c r="AK26" s="677"/>
      <c r="AL26" s="441"/>
      <c r="AM26" s="675"/>
      <c r="AN26" s="676"/>
      <c r="AO26" s="676"/>
      <c r="AP26" s="440"/>
      <c r="AQ26" s="677"/>
    </row>
    <row r="27" spans="1:43" x14ac:dyDescent="0.25">
      <c r="A27" s="670"/>
      <c r="B27" s="671" t="s">
        <v>399</v>
      </c>
      <c r="C27" s="661"/>
      <c r="D27" s="662"/>
      <c r="E27" s="662"/>
      <c r="F27" s="662"/>
      <c r="G27" s="662"/>
      <c r="H27" s="662"/>
      <c r="I27" s="662"/>
      <c r="J27" s="662"/>
      <c r="K27" s="662"/>
      <c r="L27" s="662"/>
      <c r="M27" s="662"/>
      <c r="N27" s="663"/>
      <c r="O27" s="662"/>
      <c r="P27" s="662"/>
      <c r="Q27" s="662"/>
      <c r="R27" s="662"/>
      <c r="S27" s="662"/>
      <c r="T27" s="662"/>
      <c r="U27" s="662"/>
      <c r="V27" s="662"/>
      <c r="W27" s="662"/>
      <c r="X27" s="662"/>
      <c r="Y27" s="663"/>
      <c r="Z27" s="672"/>
      <c r="AA27" s="673"/>
      <c r="AB27" s="673"/>
      <c r="AC27" s="674"/>
      <c r="AD27" s="675"/>
      <c r="AE27" s="676"/>
      <c r="AF27" s="676"/>
      <c r="AG27" s="440"/>
      <c r="AH27" s="440"/>
      <c r="AI27" s="440"/>
      <c r="AJ27" s="652"/>
      <c r="AK27" s="677"/>
      <c r="AL27" s="441"/>
      <c r="AM27" s="675"/>
      <c r="AN27" s="676"/>
      <c r="AO27" s="676"/>
      <c r="AP27" s="440"/>
      <c r="AQ27" s="677"/>
    </row>
    <row r="28" spans="1:43" ht="24" x14ac:dyDescent="0.25">
      <c r="A28" s="670"/>
      <c r="B28" s="671" t="s">
        <v>400</v>
      </c>
      <c r="C28" s="661"/>
      <c r="D28" s="662"/>
      <c r="E28" s="662"/>
      <c r="F28" s="662"/>
      <c r="G28" s="662"/>
      <c r="H28" s="662"/>
      <c r="I28" s="662"/>
      <c r="J28" s="662"/>
      <c r="K28" s="662"/>
      <c r="L28" s="662"/>
      <c r="M28" s="662"/>
      <c r="N28" s="663"/>
      <c r="O28" s="662"/>
      <c r="P28" s="662"/>
      <c r="Q28" s="662"/>
      <c r="R28" s="662"/>
      <c r="S28" s="662"/>
      <c r="T28" s="662"/>
      <c r="U28" s="662"/>
      <c r="V28" s="662"/>
      <c r="W28" s="662"/>
      <c r="X28" s="662"/>
      <c r="Y28" s="663"/>
      <c r="Z28" s="672"/>
      <c r="AA28" s="673"/>
      <c r="AB28" s="673"/>
      <c r="AC28" s="674"/>
      <c r="AD28" s="675"/>
      <c r="AE28" s="676"/>
      <c r="AF28" s="676"/>
      <c r="AG28" s="440"/>
      <c r="AH28" s="440"/>
      <c r="AI28" s="440"/>
      <c r="AJ28" s="652"/>
      <c r="AK28" s="677"/>
      <c r="AL28" s="441"/>
      <c r="AM28" s="675"/>
      <c r="AN28" s="676"/>
      <c r="AO28" s="676"/>
      <c r="AP28" s="440"/>
      <c r="AQ28" s="677"/>
    </row>
    <row r="29" spans="1:43" x14ac:dyDescent="0.25">
      <c r="A29" s="670"/>
      <c r="B29" s="671" t="s">
        <v>401</v>
      </c>
      <c r="C29" s="661"/>
      <c r="D29" s="662"/>
      <c r="E29" s="662"/>
      <c r="F29" s="662"/>
      <c r="G29" s="662"/>
      <c r="H29" s="662"/>
      <c r="I29" s="662"/>
      <c r="J29" s="662"/>
      <c r="K29" s="662"/>
      <c r="L29" s="662"/>
      <c r="M29" s="662"/>
      <c r="N29" s="663"/>
      <c r="O29" s="662"/>
      <c r="P29" s="662"/>
      <c r="Q29" s="662"/>
      <c r="R29" s="662"/>
      <c r="S29" s="662"/>
      <c r="T29" s="662"/>
      <c r="U29" s="662"/>
      <c r="V29" s="662"/>
      <c r="W29" s="662"/>
      <c r="X29" s="662"/>
      <c r="Y29" s="663"/>
      <c r="Z29" s="672"/>
      <c r="AA29" s="673"/>
      <c r="AB29" s="673"/>
      <c r="AC29" s="674"/>
      <c r="AD29" s="675"/>
      <c r="AE29" s="676"/>
      <c r="AF29" s="676"/>
      <c r="AG29" s="440"/>
      <c r="AH29" s="440"/>
      <c r="AI29" s="440"/>
      <c r="AJ29" s="652"/>
      <c r="AK29" s="677"/>
      <c r="AL29" s="441"/>
      <c r="AM29" s="675"/>
      <c r="AN29" s="676"/>
      <c r="AO29" s="676"/>
      <c r="AP29" s="440"/>
      <c r="AQ29" s="677"/>
    </row>
    <row r="30" spans="1:43" ht="60" x14ac:dyDescent="0.25">
      <c r="A30" s="670"/>
      <c r="B30" s="671" t="s">
        <v>475</v>
      </c>
      <c r="C30" s="661"/>
      <c r="D30" s="662"/>
      <c r="E30" s="662"/>
      <c r="F30" s="662"/>
      <c r="G30" s="662"/>
      <c r="H30" s="662"/>
      <c r="I30" s="662"/>
      <c r="J30" s="662"/>
      <c r="K30" s="662"/>
      <c r="L30" s="662"/>
      <c r="M30" s="662"/>
      <c r="N30" s="663"/>
      <c r="O30" s="662"/>
      <c r="P30" s="662"/>
      <c r="Q30" s="662"/>
      <c r="R30" s="662"/>
      <c r="S30" s="662"/>
      <c r="T30" s="662"/>
      <c r="U30" s="662"/>
      <c r="V30" s="662"/>
      <c r="W30" s="662"/>
      <c r="X30" s="662"/>
      <c r="Y30" s="663"/>
      <c r="Z30" s="672"/>
      <c r="AA30" s="673"/>
      <c r="AB30" s="673"/>
      <c r="AC30" s="674"/>
      <c r="AD30" s="675"/>
      <c r="AE30" s="676"/>
      <c r="AF30" s="676"/>
      <c r="AG30" s="440"/>
      <c r="AH30" s="440"/>
      <c r="AI30" s="440"/>
      <c r="AJ30" s="652"/>
      <c r="AK30" s="677"/>
      <c r="AL30" s="441"/>
      <c r="AM30" s="675"/>
      <c r="AN30" s="676"/>
      <c r="AO30" s="676"/>
      <c r="AP30" s="440"/>
      <c r="AQ30" s="677"/>
    </row>
    <row r="31" spans="1:43" ht="24" x14ac:dyDescent="0.25">
      <c r="A31" s="670"/>
      <c r="B31" s="671" t="s">
        <v>431</v>
      </c>
      <c r="C31" s="661"/>
      <c r="D31" s="662"/>
      <c r="E31" s="662"/>
      <c r="F31" s="662"/>
      <c r="G31" s="662"/>
      <c r="H31" s="662"/>
      <c r="I31" s="662"/>
      <c r="J31" s="662"/>
      <c r="K31" s="662"/>
      <c r="L31" s="662"/>
      <c r="M31" s="662"/>
      <c r="N31" s="663"/>
      <c r="O31" s="662"/>
      <c r="P31" s="662"/>
      <c r="Q31" s="662"/>
      <c r="R31" s="662"/>
      <c r="S31" s="662"/>
      <c r="T31" s="662"/>
      <c r="U31" s="662"/>
      <c r="V31" s="662"/>
      <c r="W31" s="662"/>
      <c r="X31" s="662"/>
      <c r="Y31" s="663"/>
      <c r="Z31" s="672"/>
      <c r="AA31" s="673"/>
      <c r="AB31" s="673"/>
      <c r="AC31" s="674"/>
      <c r="AD31" s="675"/>
      <c r="AE31" s="676"/>
      <c r="AF31" s="676"/>
      <c r="AG31" s="440"/>
      <c r="AH31" s="440"/>
      <c r="AI31" s="440"/>
      <c r="AJ31" s="652"/>
      <c r="AK31" s="677"/>
      <c r="AL31" s="441"/>
      <c r="AM31" s="675"/>
      <c r="AN31" s="676"/>
      <c r="AO31" s="676"/>
      <c r="AP31" s="440"/>
      <c r="AQ31" s="677"/>
    </row>
    <row r="32" spans="1:43" ht="24" x14ac:dyDescent="0.25">
      <c r="A32" s="670"/>
      <c r="B32" s="671" t="s">
        <v>476</v>
      </c>
      <c r="C32" s="661"/>
      <c r="D32" s="662"/>
      <c r="E32" s="662"/>
      <c r="F32" s="662"/>
      <c r="G32" s="662"/>
      <c r="H32" s="662"/>
      <c r="I32" s="662"/>
      <c r="J32" s="662"/>
      <c r="K32" s="662"/>
      <c r="L32" s="662"/>
      <c r="M32" s="662"/>
      <c r="N32" s="663"/>
      <c r="O32" s="662"/>
      <c r="P32" s="662"/>
      <c r="Q32" s="662"/>
      <c r="R32" s="662"/>
      <c r="S32" s="662"/>
      <c r="T32" s="662"/>
      <c r="U32" s="662"/>
      <c r="V32" s="662"/>
      <c r="W32" s="662"/>
      <c r="X32" s="662"/>
      <c r="Y32" s="663"/>
      <c r="Z32" s="672"/>
      <c r="AA32" s="673"/>
      <c r="AB32" s="673"/>
      <c r="AC32" s="674"/>
      <c r="AD32" s="675"/>
      <c r="AE32" s="676"/>
      <c r="AF32" s="676"/>
      <c r="AG32" s="440"/>
      <c r="AH32" s="440"/>
      <c r="AI32" s="440"/>
      <c r="AJ32" s="652"/>
      <c r="AK32" s="677"/>
      <c r="AL32" s="441"/>
      <c r="AM32" s="675"/>
      <c r="AN32" s="676"/>
      <c r="AO32" s="676"/>
      <c r="AP32" s="440"/>
      <c r="AQ32" s="677"/>
    </row>
    <row r="33" spans="1:43" ht="72" x14ac:dyDescent="0.25">
      <c r="A33" s="670"/>
      <c r="B33" s="671" t="s">
        <v>404</v>
      </c>
      <c r="C33" s="661"/>
      <c r="D33" s="662"/>
      <c r="E33" s="662"/>
      <c r="F33" s="662"/>
      <c r="G33" s="662"/>
      <c r="H33" s="662"/>
      <c r="I33" s="662"/>
      <c r="J33" s="662"/>
      <c r="K33" s="662"/>
      <c r="L33" s="662"/>
      <c r="M33" s="662"/>
      <c r="N33" s="663"/>
      <c r="O33" s="662"/>
      <c r="P33" s="662"/>
      <c r="Q33" s="662"/>
      <c r="R33" s="662"/>
      <c r="S33" s="662"/>
      <c r="T33" s="662"/>
      <c r="U33" s="662"/>
      <c r="V33" s="662"/>
      <c r="W33" s="662"/>
      <c r="X33" s="662"/>
      <c r="Y33" s="663"/>
      <c r="Z33" s="672"/>
      <c r="AA33" s="673"/>
      <c r="AB33" s="673"/>
      <c r="AC33" s="674"/>
      <c r="AD33" s="675"/>
      <c r="AE33" s="676"/>
      <c r="AF33" s="676"/>
      <c r="AG33" s="440"/>
      <c r="AH33" s="440"/>
      <c r="AI33" s="440"/>
      <c r="AJ33" s="652"/>
      <c r="AK33" s="677"/>
      <c r="AL33" s="441"/>
      <c r="AM33" s="675"/>
      <c r="AN33" s="676"/>
      <c r="AO33" s="676"/>
      <c r="AP33" s="440"/>
      <c r="AQ33" s="677"/>
    </row>
    <row r="34" spans="1:43" ht="24" x14ac:dyDescent="0.25">
      <c r="A34" s="670"/>
      <c r="B34" s="671" t="s">
        <v>477</v>
      </c>
      <c r="C34" s="661"/>
      <c r="D34" s="662"/>
      <c r="E34" s="662"/>
      <c r="F34" s="662"/>
      <c r="G34" s="662"/>
      <c r="H34" s="662"/>
      <c r="I34" s="662"/>
      <c r="J34" s="662"/>
      <c r="K34" s="662"/>
      <c r="L34" s="662"/>
      <c r="M34" s="662"/>
      <c r="N34" s="663"/>
      <c r="O34" s="662"/>
      <c r="P34" s="662"/>
      <c r="Q34" s="662"/>
      <c r="R34" s="662"/>
      <c r="S34" s="662"/>
      <c r="T34" s="662"/>
      <c r="U34" s="662"/>
      <c r="V34" s="662"/>
      <c r="W34" s="662"/>
      <c r="X34" s="662"/>
      <c r="Y34" s="663"/>
      <c r="Z34" s="672"/>
      <c r="AA34" s="673"/>
      <c r="AB34" s="673"/>
      <c r="AC34" s="674"/>
      <c r="AD34" s="675"/>
      <c r="AE34" s="676"/>
      <c r="AF34" s="676"/>
      <c r="AG34" s="440"/>
      <c r="AH34" s="440"/>
      <c r="AI34" s="440"/>
      <c r="AJ34" s="652"/>
      <c r="AK34" s="677"/>
      <c r="AL34" s="441"/>
      <c r="AM34" s="675"/>
      <c r="AN34" s="676"/>
      <c r="AO34" s="676"/>
      <c r="AP34" s="440"/>
      <c r="AQ34" s="677"/>
    </row>
    <row r="35" spans="1:43" ht="84" x14ac:dyDescent="0.25">
      <c r="A35" s="670"/>
      <c r="B35" s="671" t="s">
        <v>478</v>
      </c>
      <c r="C35" s="661"/>
      <c r="D35" s="662"/>
      <c r="E35" s="662"/>
      <c r="F35" s="662"/>
      <c r="G35" s="662"/>
      <c r="H35" s="662"/>
      <c r="I35" s="662"/>
      <c r="J35" s="662"/>
      <c r="K35" s="662"/>
      <c r="L35" s="662"/>
      <c r="M35" s="662"/>
      <c r="N35" s="663"/>
      <c r="O35" s="662"/>
      <c r="P35" s="662"/>
      <c r="Q35" s="662"/>
      <c r="R35" s="662"/>
      <c r="S35" s="662"/>
      <c r="T35" s="662"/>
      <c r="U35" s="662"/>
      <c r="V35" s="662"/>
      <c r="W35" s="662"/>
      <c r="X35" s="662"/>
      <c r="Y35" s="663"/>
      <c r="Z35" s="672"/>
      <c r="AA35" s="673"/>
      <c r="AB35" s="673"/>
      <c r="AC35" s="674"/>
      <c r="AD35" s="675"/>
      <c r="AE35" s="676"/>
      <c r="AF35" s="676"/>
      <c r="AG35" s="440"/>
      <c r="AH35" s="440"/>
      <c r="AI35" s="440"/>
      <c r="AJ35" s="652"/>
      <c r="AK35" s="677"/>
      <c r="AL35" s="441"/>
      <c r="AM35" s="675"/>
      <c r="AN35" s="676"/>
      <c r="AO35" s="676"/>
      <c r="AP35" s="440"/>
      <c r="AQ35" s="677"/>
    </row>
    <row r="36" spans="1:43" ht="24" x14ac:dyDescent="0.25">
      <c r="A36" s="670"/>
      <c r="B36" s="671" t="s">
        <v>480</v>
      </c>
      <c r="C36" s="661"/>
      <c r="D36" s="662"/>
      <c r="E36" s="662"/>
      <c r="F36" s="662"/>
      <c r="G36" s="662"/>
      <c r="H36" s="662"/>
      <c r="I36" s="662"/>
      <c r="J36" s="662"/>
      <c r="K36" s="662"/>
      <c r="L36" s="662"/>
      <c r="M36" s="662"/>
      <c r="N36" s="663"/>
      <c r="O36" s="662"/>
      <c r="P36" s="662"/>
      <c r="Q36" s="662"/>
      <c r="R36" s="662"/>
      <c r="S36" s="662"/>
      <c r="T36" s="662"/>
      <c r="U36" s="662"/>
      <c r="V36" s="662"/>
      <c r="W36" s="662"/>
      <c r="X36" s="662"/>
      <c r="Y36" s="663"/>
      <c r="Z36" s="672"/>
      <c r="AA36" s="673"/>
      <c r="AB36" s="673"/>
      <c r="AC36" s="674"/>
      <c r="AD36" s="675"/>
      <c r="AE36" s="676"/>
      <c r="AF36" s="676"/>
      <c r="AG36" s="440"/>
      <c r="AH36" s="440"/>
      <c r="AI36" s="440"/>
      <c r="AJ36" s="652"/>
      <c r="AK36" s="677"/>
      <c r="AL36" s="441"/>
      <c r="AM36" s="675"/>
      <c r="AN36" s="676"/>
      <c r="AO36" s="676"/>
      <c r="AP36" s="440"/>
      <c r="AQ36" s="677"/>
    </row>
    <row r="37" spans="1:43" ht="60" x14ac:dyDescent="0.25">
      <c r="A37" s="670"/>
      <c r="B37" s="671" t="s">
        <v>479</v>
      </c>
      <c r="C37" s="661"/>
      <c r="D37" s="662"/>
      <c r="E37" s="662"/>
      <c r="F37" s="662"/>
      <c r="G37" s="662"/>
      <c r="H37" s="662"/>
      <c r="I37" s="662"/>
      <c r="J37" s="662"/>
      <c r="K37" s="662"/>
      <c r="L37" s="662"/>
      <c r="M37" s="662"/>
      <c r="N37" s="663"/>
      <c r="O37" s="662"/>
      <c r="P37" s="662"/>
      <c r="Q37" s="662"/>
      <c r="R37" s="662"/>
      <c r="S37" s="662"/>
      <c r="T37" s="662"/>
      <c r="U37" s="662"/>
      <c r="V37" s="662"/>
      <c r="W37" s="662"/>
      <c r="X37" s="662"/>
      <c r="Y37" s="663"/>
      <c r="Z37" s="672"/>
      <c r="AA37" s="673"/>
      <c r="AB37" s="673"/>
      <c r="AC37" s="674"/>
      <c r="AD37" s="675"/>
      <c r="AE37" s="676"/>
      <c r="AF37" s="676"/>
      <c r="AG37" s="440"/>
      <c r="AH37" s="440"/>
      <c r="AI37" s="440"/>
      <c r="AJ37" s="652"/>
      <c r="AK37" s="677"/>
      <c r="AL37" s="441"/>
      <c r="AM37" s="675"/>
      <c r="AN37" s="676"/>
      <c r="AO37" s="676"/>
      <c r="AP37" s="440"/>
      <c r="AQ37" s="677"/>
    </row>
    <row r="38" spans="1:43" x14ac:dyDescent="0.25">
      <c r="A38" s="670"/>
      <c r="B38" s="671" t="s">
        <v>405</v>
      </c>
      <c r="C38" s="661"/>
      <c r="D38" s="662"/>
      <c r="E38" s="662"/>
      <c r="F38" s="662"/>
      <c r="G38" s="662"/>
      <c r="H38" s="662"/>
      <c r="I38" s="662"/>
      <c r="J38" s="662"/>
      <c r="K38" s="662"/>
      <c r="L38" s="662"/>
      <c r="M38" s="662"/>
      <c r="N38" s="663"/>
      <c r="O38" s="662"/>
      <c r="P38" s="662"/>
      <c r="Q38" s="662"/>
      <c r="R38" s="662"/>
      <c r="S38" s="662"/>
      <c r="T38" s="662"/>
      <c r="U38" s="662"/>
      <c r="V38" s="662"/>
      <c r="W38" s="662"/>
      <c r="X38" s="662"/>
      <c r="Y38" s="663"/>
      <c r="Z38" s="672"/>
      <c r="AA38" s="673"/>
      <c r="AB38" s="673"/>
      <c r="AC38" s="674"/>
      <c r="AD38" s="675"/>
      <c r="AE38" s="676"/>
      <c r="AF38" s="676"/>
      <c r="AG38" s="440"/>
      <c r="AH38" s="440"/>
      <c r="AI38" s="440"/>
      <c r="AJ38" s="652"/>
      <c r="AK38" s="677"/>
      <c r="AL38" s="441"/>
      <c r="AM38" s="675"/>
      <c r="AN38" s="676"/>
      <c r="AO38" s="676"/>
      <c r="AP38" s="440"/>
      <c r="AQ38" s="677"/>
    </row>
    <row r="39" spans="1:43" ht="24" x14ac:dyDescent="0.25">
      <c r="A39" s="670"/>
      <c r="B39" s="671" t="s">
        <v>432</v>
      </c>
      <c r="C39" s="661"/>
      <c r="D39" s="662"/>
      <c r="E39" s="662"/>
      <c r="F39" s="662"/>
      <c r="G39" s="662"/>
      <c r="H39" s="662"/>
      <c r="I39" s="662"/>
      <c r="J39" s="662"/>
      <c r="K39" s="662"/>
      <c r="L39" s="662"/>
      <c r="M39" s="662"/>
      <c r="N39" s="663"/>
      <c r="O39" s="662"/>
      <c r="P39" s="662"/>
      <c r="Q39" s="662"/>
      <c r="R39" s="662"/>
      <c r="S39" s="662"/>
      <c r="T39" s="662"/>
      <c r="U39" s="662"/>
      <c r="V39" s="662"/>
      <c r="W39" s="662"/>
      <c r="X39" s="662"/>
      <c r="Y39" s="663"/>
      <c r="Z39" s="672"/>
      <c r="AA39" s="673"/>
      <c r="AB39" s="673"/>
      <c r="AC39" s="674"/>
      <c r="AD39" s="675"/>
      <c r="AE39" s="676"/>
      <c r="AF39" s="676"/>
      <c r="AG39" s="440"/>
      <c r="AH39" s="440"/>
      <c r="AI39" s="440"/>
      <c r="AJ39" s="652"/>
      <c r="AK39" s="677"/>
      <c r="AL39" s="441"/>
      <c r="AM39" s="675"/>
      <c r="AN39" s="676"/>
      <c r="AO39" s="676"/>
      <c r="AP39" s="440"/>
      <c r="AQ39" s="677"/>
    </row>
    <row r="40" spans="1:43" x14ac:dyDescent="0.25">
      <c r="A40" s="670"/>
      <c r="B40" s="671" t="s">
        <v>406</v>
      </c>
      <c r="C40" s="661"/>
      <c r="D40" s="662"/>
      <c r="E40" s="662"/>
      <c r="F40" s="662"/>
      <c r="G40" s="662"/>
      <c r="H40" s="662"/>
      <c r="I40" s="662"/>
      <c r="J40" s="662"/>
      <c r="K40" s="662"/>
      <c r="L40" s="662"/>
      <c r="M40" s="662"/>
      <c r="N40" s="663"/>
      <c r="O40" s="662"/>
      <c r="P40" s="662"/>
      <c r="Q40" s="662"/>
      <c r="R40" s="662"/>
      <c r="S40" s="662"/>
      <c r="T40" s="662"/>
      <c r="U40" s="662"/>
      <c r="V40" s="662"/>
      <c r="W40" s="662"/>
      <c r="X40" s="662"/>
      <c r="Y40" s="663"/>
      <c r="Z40" s="672"/>
      <c r="AA40" s="673"/>
      <c r="AB40" s="673"/>
      <c r="AC40" s="674"/>
      <c r="AD40" s="675"/>
      <c r="AE40" s="676"/>
      <c r="AF40" s="676"/>
      <c r="AG40" s="440"/>
      <c r="AH40" s="440"/>
      <c r="AI40" s="440"/>
      <c r="AJ40" s="652"/>
      <c r="AK40" s="677"/>
      <c r="AL40" s="441"/>
      <c r="AM40" s="675"/>
      <c r="AN40" s="676"/>
      <c r="AO40" s="676"/>
      <c r="AP40" s="440"/>
      <c r="AQ40" s="677"/>
    </row>
    <row r="41" spans="1:43" ht="24" x14ac:dyDescent="0.25">
      <c r="A41" s="670"/>
      <c r="B41" s="671" t="s">
        <v>433</v>
      </c>
      <c r="C41" s="661"/>
      <c r="D41" s="662"/>
      <c r="E41" s="662"/>
      <c r="F41" s="662"/>
      <c r="G41" s="662"/>
      <c r="H41" s="662"/>
      <c r="I41" s="662"/>
      <c r="J41" s="662"/>
      <c r="K41" s="662"/>
      <c r="L41" s="662"/>
      <c r="M41" s="662"/>
      <c r="N41" s="663"/>
      <c r="O41" s="662"/>
      <c r="P41" s="662"/>
      <c r="Q41" s="662"/>
      <c r="R41" s="662"/>
      <c r="S41" s="662"/>
      <c r="T41" s="662"/>
      <c r="U41" s="662"/>
      <c r="V41" s="662"/>
      <c r="W41" s="662"/>
      <c r="X41" s="662"/>
      <c r="Y41" s="663"/>
      <c r="Z41" s="672"/>
      <c r="AA41" s="673"/>
      <c r="AB41" s="673"/>
      <c r="AC41" s="674"/>
      <c r="AD41" s="675"/>
      <c r="AE41" s="676"/>
      <c r="AF41" s="676"/>
      <c r="AG41" s="440"/>
      <c r="AH41" s="440"/>
      <c r="AI41" s="440"/>
      <c r="AJ41" s="652"/>
      <c r="AK41" s="677"/>
      <c r="AL41" s="441"/>
      <c r="AM41" s="675"/>
      <c r="AN41" s="676"/>
      <c r="AO41" s="676"/>
      <c r="AP41" s="440"/>
      <c r="AQ41" s="677"/>
    </row>
    <row r="42" spans="1:43" x14ac:dyDescent="0.25">
      <c r="A42" s="670"/>
      <c r="B42" s="671" t="s">
        <v>406</v>
      </c>
      <c r="C42" s="661"/>
      <c r="D42" s="662"/>
      <c r="E42" s="662"/>
      <c r="F42" s="662"/>
      <c r="G42" s="662"/>
      <c r="H42" s="662"/>
      <c r="I42" s="662"/>
      <c r="J42" s="662"/>
      <c r="K42" s="662"/>
      <c r="L42" s="662"/>
      <c r="M42" s="662"/>
      <c r="N42" s="663"/>
      <c r="O42" s="662"/>
      <c r="P42" s="662"/>
      <c r="Q42" s="662"/>
      <c r="R42" s="662"/>
      <c r="S42" s="662"/>
      <c r="T42" s="662"/>
      <c r="U42" s="662"/>
      <c r="V42" s="662"/>
      <c r="W42" s="662"/>
      <c r="X42" s="662"/>
      <c r="Y42" s="663"/>
      <c r="Z42" s="672"/>
      <c r="AA42" s="673"/>
      <c r="AB42" s="673"/>
      <c r="AC42" s="674"/>
      <c r="AD42" s="675"/>
      <c r="AE42" s="676"/>
      <c r="AF42" s="676"/>
      <c r="AG42" s="440"/>
      <c r="AH42" s="440"/>
      <c r="AI42" s="440"/>
      <c r="AJ42" s="652"/>
      <c r="AK42" s="677"/>
      <c r="AL42" s="441"/>
      <c r="AM42" s="675"/>
      <c r="AN42" s="676"/>
      <c r="AO42" s="676"/>
      <c r="AP42" s="440"/>
      <c r="AQ42" s="677"/>
    </row>
    <row r="43" spans="1:43" x14ac:dyDescent="0.25">
      <c r="A43" s="670"/>
      <c r="B43" s="671" t="s">
        <v>434</v>
      </c>
      <c r="C43" s="661"/>
      <c r="D43" s="662"/>
      <c r="E43" s="662"/>
      <c r="F43" s="662"/>
      <c r="G43" s="662"/>
      <c r="H43" s="662"/>
      <c r="I43" s="662"/>
      <c r="J43" s="662"/>
      <c r="K43" s="662"/>
      <c r="L43" s="662"/>
      <c r="M43" s="662"/>
      <c r="N43" s="663"/>
      <c r="O43" s="662"/>
      <c r="P43" s="662"/>
      <c r="Q43" s="662"/>
      <c r="R43" s="662"/>
      <c r="S43" s="662"/>
      <c r="T43" s="662"/>
      <c r="U43" s="662"/>
      <c r="V43" s="662"/>
      <c r="W43" s="662"/>
      <c r="X43" s="662"/>
      <c r="Y43" s="663"/>
      <c r="Z43" s="672"/>
      <c r="AA43" s="673"/>
      <c r="AB43" s="673"/>
      <c r="AC43" s="674"/>
      <c r="AD43" s="675"/>
      <c r="AE43" s="676"/>
      <c r="AF43" s="676"/>
      <c r="AG43" s="440"/>
      <c r="AH43" s="440"/>
      <c r="AI43" s="440"/>
      <c r="AJ43" s="652"/>
      <c r="AK43" s="677"/>
      <c r="AL43" s="441"/>
      <c r="AM43" s="675"/>
      <c r="AN43" s="676"/>
      <c r="AO43" s="676"/>
      <c r="AP43" s="440"/>
      <c r="AQ43" s="677"/>
    </row>
    <row r="44" spans="1:43" x14ac:dyDescent="0.25">
      <c r="A44" s="670"/>
      <c r="B44" s="671" t="s">
        <v>406</v>
      </c>
      <c r="C44" s="661"/>
      <c r="D44" s="662"/>
      <c r="E44" s="662"/>
      <c r="F44" s="662"/>
      <c r="G44" s="662"/>
      <c r="H44" s="662"/>
      <c r="I44" s="662"/>
      <c r="J44" s="662"/>
      <c r="K44" s="662"/>
      <c r="L44" s="662"/>
      <c r="M44" s="662"/>
      <c r="N44" s="663"/>
      <c r="O44" s="662"/>
      <c r="P44" s="662"/>
      <c r="Q44" s="662"/>
      <c r="R44" s="662"/>
      <c r="S44" s="662"/>
      <c r="T44" s="662"/>
      <c r="U44" s="662"/>
      <c r="V44" s="662"/>
      <c r="W44" s="662"/>
      <c r="X44" s="662"/>
      <c r="Y44" s="663"/>
      <c r="Z44" s="672"/>
      <c r="AA44" s="673"/>
      <c r="AB44" s="673"/>
      <c r="AC44" s="674"/>
      <c r="AD44" s="675"/>
      <c r="AE44" s="676"/>
      <c r="AF44" s="676"/>
      <c r="AG44" s="440"/>
      <c r="AH44" s="440"/>
      <c r="AI44" s="440"/>
      <c r="AJ44" s="652"/>
      <c r="AK44" s="677"/>
      <c r="AL44" s="441"/>
      <c r="AM44" s="675"/>
      <c r="AN44" s="676"/>
      <c r="AO44" s="676"/>
      <c r="AP44" s="440"/>
      <c r="AQ44" s="677"/>
    </row>
    <row r="45" spans="1:43" x14ac:dyDescent="0.25">
      <c r="A45" s="670"/>
      <c r="B45" s="671" t="s">
        <v>407</v>
      </c>
      <c r="C45" s="661"/>
      <c r="D45" s="662"/>
      <c r="E45" s="662"/>
      <c r="F45" s="662"/>
      <c r="G45" s="662"/>
      <c r="H45" s="662"/>
      <c r="I45" s="662"/>
      <c r="J45" s="662"/>
      <c r="K45" s="662"/>
      <c r="L45" s="662"/>
      <c r="M45" s="662"/>
      <c r="N45" s="663"/>
      <c r="O45" s="662"/>
      <c r="P45" s="662"/>
      <c r="Q45" s="662"/>
      <c r="R45" s="662"/>
      <c r="S45" s="662"/>
      <c r="T45" s="662"/>
      <c r="U45" s="662"/>
      <c r="V45" s="662"/>
      <c r="W45" s="662"/>
      <c r="X45" s="662"/>
      <c r="Y45" s="663"/>
      <c r="Z45" s="672"/>
      <c r="AA45" s="673"/>
      <c r="AB45" s="673"/>
      <c r="AC45" s="674"/>
      <c r="AD45" s="675"/>
      <c r="AE45" s="676"/>
      <c r="AF45" s="676"/>
      <c r="AG45" s="440"/>
      <c r="AH45" s="440"/>
      <c r="AI45" s="440"/>
      <c r="AJ45" s="652"/>
      <c r="AK45" s="677"/>
      <c r="AL45" s="441"/>
      <c r="AM45" s="675"/>
      <c r="AN45" s="676"/>
      <c r="AO45" s="676"/>
      <c r="AP45" s="440"/>
      <c r="AQ45" s="677"/>
    </row>
    <row r="46" spans="1:43" ht="24" x14ac:dyDescent="0.25">
      <c r="A46" s="670"/>
      <c r="B46" s="671" t="s">
        <v>408</v>
      </c>
      <c r="C46" s="661"/>
      <c r="D46" s="662"/>
      <c r="E46" s="662"/>
      <c r="F46" s="662"/>
      <c r="G46" s="662"/>
      <c r="H46" s="662"/>
      <c r="I46" s="662"/>
      <c r="J46" s="662"/>
      <c r="K46" s="662"/>
      <c r="L46" s="662"/>
      <c r="M46" s="662"/>
      <c r="N46" s="663"/>
      <c r="O46" s="662"/>
      <c r="P46" s="662"/>
      <c r="Q46" s="662"/>
      <c r="R46" s="662"/>
      <c r="S46" s="662"/>
      <c r="T46" s="662"/>
      <c r="U46" s="662"/>
      <c r="V46" s="662"/>
      <c r="W46" s="662"/>
      <c r="X46" s="662"/>
      <c r="Y46" s="663"/>
      <c r="Z46" s="672"/>
      <c r="AA46" s="673"/>
      <c r="AB46" s="673"/>
      <c r="AC46" s="674"/>
      <c r="AD46" s="675"/>
      <c r="AE46" s="676"/>
      <c r="AF46" s="676"/>
      <c r="AG46" s="440"/>
      <c r="AH46" s="440"/>
      <c r="AI46" s="440"/>
      <c r="AJ46" s="652"/>
      <c r="AK46" s="677"/>
      <c r="AL46" s="441"/>
      <c r="AM46" s="675"/>
      <c r="AN46" s="676"/>
      <c r="AO46" s="676"/>
      <c r="AP46" s="440"/>
      <c r="AQ46" s="677"/>
    </row>
    <row r="47" spans="1:43" x14ac:dyDescent="0.25">
      <c r="A47" s="670"/>
      <c r="B47" s="671" t="s">
        <v>406</v>
      </c>
      <c r="C47" s="661"/>
      <c r="D47" s="662"/>
      <c r="E47" s="662"/>
      <c r="F47" s="662"/>
      <c r="G47" s="662"/>
      <c r="H47" s="662"/>
      <c r="I47" s="662"/>
      <c r="J47" s="662"/>
      <c r="K47" s="662"/>
      <c r="L47" s="662"/>
      <c r="M47" s="662"/>
      <c r="N47" s="663"/>
      <c r="O47" s="662"/>
      <c r="P47" s="662"/>
      <c r="Q47" s="662"/>
      <c r="R47" s="662"/>
      <c r="S47" s="662"/>
      <c r="T47" s="662"/>
      <c r="U47" s="662"/>
      <c r="V47" s="662"/>
      <c r="W47" s="662"/>
      <c r="X47" s="662"/>
      <c r="Y47" s="663"/>
      <c r="Z47" s="672"/>
      <c r="AA47" s="673"/>
      <c r="AB47" s="673"/>
      <c r="AC47" s="674"/>
      <c r="AD47" s="675"/>
      <c r="AE47" s="676"/>
      <c r="AF47" s="676"/>
      <c r="AG47" s="440"/>
      <c r="AH47" s="440"/>
      <c r="AI47" s="440"/>
      <c r="AJ47" s="652"/>
      <c r="AK47" s="677"/>
      <c r="AL47" s="441"/>
      <c r="AM47" s="675"/>
      <c r="AN47" s="676"/>
      <c r="AO47" s="676"/>
      <c r="AP47" s="440"/>
      <c r="AQ47" s="677"/>
    </row>
    <row r="48" spans="1:43" x14ac:dyDescent="0.25">
      <c r="A48" s="670"/>
      <c r="B48" s="671" t="s">
        <v>409</v>
      </c>
      <c r="C48" s="661"/>
      <c r="D48" s="662"/>
      <c r="E48" s="662"/>
      <c r="F48" s="662"/>
      <c r="G48" s="662"/>
      <c r="H48" s="662"/>
      <c r="I48" s="662"/>
      <c r="J48" s="662"/>
      <c r="K48" s="662"/>
      <c r="L48" s="662"/>
      <c r="M48" s="662"/>
      <c r="N48" s="663"/>
      <c r="O48" s="662"/>
      <c r="P48" s="662"/>
      <c r="Q48" s="662"/>
      <c r="R48" s="662"/>
      <c r="S48" s="662"/>
      <c r="T48" s="662"/>
      <c r="U48" s="662"/>
      <c r="V48" s="662"/>
      <c r="W48" s="662"/>
      <c r="X48" s="662"/>
      <c r="Y48" s="663"/>
      <c r="Z48" s="672"/>
      <c r="AA48" s="673"/>
      <c r="AB48" s="673"/>
      <c r="AC48" s="674"/>
      <c r="AD48" s="675"/>
      <c r="AE48" s="676"/>
      <c r="AF48" s="676"/>
      <c r="AG48" s="440"/>
      <c r="AH48" s="440"/>
      <c r="AI48" s="440"/>
      <c r="AJ48" s="652"/>
      <c r="AK48" s="677"/>
      <c r="AL48" s="441"/>
      <c r="AM48" s="675"/>
      <c r="AN48" s="676"/>
      <c r="AO48" s="676"/>
      <c r="AP48" s="440"/>
      <c r="AQ48" s="677"/>
    </row>
    <row r="49" spans="1:43" x14ac:dyDescent="0.25">
      <c r="A49" s="670"/>
      <c r="B49" s="671" t="s">
        <v>406</v>
      </c>
      <c r="C49" s="661"/>
      <c r="D49" s="662"/>
      <c r="E49" s="662"/>
      <c r="F49" s="662"/>
      <c r="G49" s="662"/>
      <c r="H49" s="662"/>
      <c r="I49" s="662"/>
      <c r="J49" s="662"/>
      <c r="K49" s="662"/>
      <c r="L49" s="662"/>
      <c r="M49" s="662"/>
      <c r="N49" s="663"/>
      <c r="O49" s="662"/>
      <c r="P49" s="662"/>
      <c r="Q49" s="662"/>
      <c r="R49" s="662"/>
      <c r="S49" s="662"/>
      <c r="T49" s="662"/>
      <c r="U49" s="662"/>
      <c r="V49" s="662"/>
      <c r="W49" s="662"/>
      <c r="X49" s="662"/>
      <c r="Y49" s="663"/>
      <c r="Z49" s="672"/>
      <c r="AA49" s="673"/>
      <c r="AB49" s="673"/>
      <c r="AC49" s="674"/>
      <c r="AD49" s="675"/>
      <c r="AE49" s="676"/>
      <c r="AF49" s="676"/>
      <c r="AG49" s="440"/>
      <c r="AH49" s="440"/>
      <c r="AI49" s="440"/>
      <c r="AJ49" s="652"/>
      <c r="AK49" s="677"/>
      <c r="AL49" s="441"/>
      <c r="AM49" s="675"/>
      <c r="AN49" s="676"/>
      <c r="AO49" s="676"/>
      <c r="AP49" s="440"/>
      <c r="AQ49" s="677"/>
    </row>
    <row r="50" spans="1:43" x14ac:dyDescent="0.25">
      <c r="A50" s="670"/>
      <c r="B50" s="671" t="s">
        <v>435</v>
      </c>
      <c r="C50" s="661"/>
      <c r="D50" s="662"/>
      <c r="E50" s="662"/>
      <c r="F50" s="662"/>
      <c r="G50" s="662"/>
      <c r="H50" s="662"/>
      <c r="I50" s="662"/>
      <c r="J50" s="662"/>
      <c r="K50" s="662"/>
      <c r="L50" s="662"/>
      <c r="M50" s="662"/>
      <c r="N50" s="663"/>
      <c r="O50" s="662"/>
      <c r="P50" s="662"/>
      <c r="Q50" s="662"/>
      <c r="R50" s="662"/>
      <c r="S50" s="662"/>
      <c r="T50" s="662"/>
      <c r="U50" s="662"/>
      <c r="V50" s="662"/>
      <c r="W50" s="662"/>
      <c r="X50" s="662"/>
      <c r="Y50" s="663"/>
      <c r="Z50" s="672"/>
      <c r="AA50" s="673"/>
      <c r="AB50" s="673"/>
      <c r="AC50" s="674"/>
      <c r="AD50" s="675"/>
      <c r="AE50" s="676"/>
      <c r="AF50" s="676"/>
      <c r="AG50" s="440"/>
      <c r="AH50" s="440"/>
      <c r="AI50" s="440"/>
      <c r="AJ50" s="652"/>
      <c r="AK50" s="677"/>
      <c r="AL50" s="441"/>
      <c r="AM50" s="675"/>
      <c r="AN50" s="676"/>
      <c r="AO50" s="676"/>
      <c r="AP50" s="440"/>
      <c r="AQ50" s="677"/>
    </row>
    <row r="51" spans="1:43" x14ac:dyDescent="0.25">
      <c r="A51" s="670"/>
      <c r="B51" s="671" t="s">
        <v>406</v>
      </c>
      <c r="C51" s="661"/>
      <c r="D51" s="662"/>
      <c r="E51" s="662"/>
      <c r="F51" s="662"/>
      <c r="G51" s="662"/>
      <c r="H51" s="662"/>
      <c r="I51" s="662"/>
      <c r="J51" s="662"/>
      <c r="K51" s="662"/>
      <c r="L51" s="662"/>
      <c r="M51" s="662"/>
      <c r="N51" s="663"/>
      <c r="O51" s="662"/>
      <c r="P51" s="662"/>
      <c r="Q51" s="662"/>
      <c r="R51" s="662"/>
      <c r="S51" s="662"/>
      <c r="T51" s="662"/>
      <c r="U51" s="662"/>
      <c r="V51" s="662"/>
      <c r="W51" s="662"/>
      <c r="X51" s="662"/>
      <c r="Y51" s="663"/>
      <c r="Z51" s="672"/>
      <c r="AA51" s="673"/>
      <c r="AB51" s="673"/>
      <c r="AC51" s="674"/>
      <c r="AD51" s="675"/>
      <c r="AE51" s="676"/>
      <c r="AF51" s="676"/>
      <c r="AG51" s="440"/>
      <c r="AH51" s="440"/>
      <c r="AI51" s="440"/>
      <c r="AJ51" s="652"/>
      <c r="AK51" s="677"/>
      <c r="AL51" s="441"/>
      <c r="AM51" s="675"/>
      <c r="AN51" s="676"/>
      <c r="AO51" s="676"/>
      <c r="AP51" s="440"/>
      <c r="AQ51" s="677"/>
    </row>
    <row r="52" spans="1:43" x14ac:dyDescent="0.25">
      <c r="A52" s="670"/>
      <c r="B52" s="671" t="s">
        <v>410</v>
      </c>
      <c r="C52" s="661"/>
      <c r="D52" s="662"/>
      <c r="E52" s="662"/>
      <c r="F52" s="662"/>
      <c r="G52" s="662"/>
      <c r="H52" s="662"/>
      <c r="I52" s="662"/>
      <c r="J52" s="662"/>
      <c r="K52" s="662"/>
      <c r="L52" s="662"/>
      <c r="M52" s="662"/>
      <c r="N52" s="663"/>
      <c r="O52" s="662"/>
      <c r="P52" s="662"/>
      <c r="Q52" s="662"/>
      <c r="R52" s="662"/>
      <c r="S52" s="662"/>
      <c r="T52" s="662"/>
      <c r="U52" s="662"/>
      <c r="V52" s="662"/>
      <c r="W52" s="662"/>
      <c r="X52" s="662"/>
      <c r="Y52" s="663"/>
      <c r="Z52" s="672"/>
      <c r="AA52" s="673"/>
      <c r="AB52" s="673"/>
      <c r="AC52" s="674"/>
      <c r="AD52" s="675"/>
      <c r="AE52" s="676"/>
      <c r="AF52" s="676"/>
      <c r="AG52" s="440"/>
      <c r="AH52" s="440"/>
      <c r="AI52" s="440"/>
      <c r="AJ52" s="652"/>
      <c r="AK52" s="677"/>
      <c r="AL52" s="441"/>
      <c r="AM52" s="675"/>
      <c r="AN52" s="676"/>
      <c r="AO52" s="676"/>
      <c r="AP52" s="440"/>
      <c r="AQ52" s="677"/>
    </row>
    <row r="53" spans="1:43" ht="24" x14ac:dyDescent="0.25">
      <c r="A53" s="670"/>
      <c r="B53" s="671" t="s">
        <v>411</v>
      </c>
      <c r="C53" s="661"/>
      <c r="D53" s="662"/>
      <c r="E53" s="662"/>
      <c r="F53" s="662"/>
      <c r="G53" s="662"/>
      <c r="H53" s="662"/>
      <c r="I53" s="662"/>
      <c r="J53" s="662"/>
      <c r="K53" s="662"/>
      <c r="L53" s="662"/>
      <c r="M53" s="662"/>
      <c r="N53" s="663"/>
      <c r="O53" s="662"/>
      <c r="P53" s="662"/>
      <c r="Q53" s="662"/>
      <c r="R53" s="662"/>
      <c r="S53" s="662"/>
      <c r="T53" s="662"/>
      <c r="U53" s="662"/>
      <c r="V53" s="662"/>
      <c r="W53" s="662"/>
      <c r="X53" s="662"/>
      <c r="Y53" s="663"/>
      <c r="Z53" s="672"/>
      <c r="AA53" s="673"/>
      <c r="AB53" s="673"/>
      <c r="AC53" s="674"/>
      <c r="AD53" s="675"/>
      <c r="AE53" s="676"/>
      <c r="AF53" s="676"/>
      <c r="AG53" s="440"/>
      <c r="AH53" s="440"/>
      <c r="AI53" s="440"/>
      <c r="AJ53" s="652"/>
      <c r="AK53" s="677"/>
      <c r="AL53" s="441"/>
      <c r="AM53" s="675"/>
      <c r="AN53" s="676"/>
      <c r="AO53" s="676"/>
      <c r="AP53" s="440"/>
      <c r="AQ53" s="677"/>
    </row>
    <row r="54" spans="1:43" x14ac:dyDescent="0.25">
      <c r="A54" s="670"/>
      <c r="B54" s="671" t="s">
        <v>412</v>
      </c>
      <c r="C54" s="661"/>
      <c r="D54" s="662"/>
      <c r="E54" s="662"/>
      <c r="F54" s="662"/>
      <c r="G54" s="662"/>
      <c r="H54" s="662"/>
      <c r="I54" s="662"/>
      <c r="J54" s="662"/>
      <c r="K54" s="662"/>
      <c r="L54" s="662"/>
      <c r="M54" s="662"/>
      <c r="N54" s="663"/>
      <c r="O54" s="662"/>
      <c r="P54" s="662"/>
      <c r="Q54" s="662"/>
      <c r="R54" s="662"/>
      <c r="S54" s="662"/>
      <c r="T54" s="662"/>
      <c r="U54" s="662"/>
      <c r="V54" s="662"/>
      <c r="W54" s="662"/>
      <c r="X54" s="662"/>
      <c r="Y54" s="663"/>
      <c r="Z54" s="672"/>
      <c r="AA54" s="673"/>
      <c r="AB54" s="673"/>
      <c r="AC54" s="674"/>
      <c r="AD54" s="675"/>
      <c r="AE54" s="676"/>
      <c r="AF54" s="676"/>
      <c r="AG54" s="440"/>
      <c r="AH54" s="440"/>
      <c r="AI54" s="440"/>
      <c r="AJ54" s="652"/>
      <c r="AK54" s="677"/>
      <c r="AL54" s="441"/>
      <c r="AM54" s="675"/>
      <c r="AN54" s="676"/>
      <c r="AO54" s="676"/>
      <c r="AP54" s="440"/>
      <c r="AQ54" s="677"/>
    </row>
    <row r="55" spans="1:43" x14ac:dyDescent="0.25">
      <c r="A55" s="670"/>
      <c r="B55" s="671" t="s">
        <v>413</v>
      </c>
      <c r="C55" s="661"/>
      <c r="D55" s="662"/>
      <c r="E55" s="662"/>
      <c r="F55" s="662"/>
      <c r="G55" s="662"/>
      <c r="H55" s="662"/>
      <c r="I55" s="662"/>
      <c r="J55" s="662"/>
      <c r="K55" s="662"/>
      <c r="L55" s="662"/>
      <c r="M55" s="662"/>
      <c r="N55" s="663"/>
      <c r="O55" s="662"/>
      <c r="P55" s="662"/>
      <c r="Q55" s="662"/>
      <c r="R55" s="662"/>
      <c r="S55" s="662"/>
      <c r="T55" s="662"/>
      <c r="U55" s="662"/>
      <c r="V55" s="662"/>
      <c r="W55" s="662"/>
      <c r="X55" s="662"/>
      <c r="Y55" s="663"/>
      <c r="Z55" s="672"/>
      <c r="AA55" s="673"/>
      <c r="AB55" s="673"/>
      <c r="AC55" s="674"/>
      <c r="AD55" s="675"/>
      <c r="AE55" s="676"/>
      <c r="AF55" s="676"/>
      <c r="AG55" s="440"/>
      <c r="AH55" s="440"/>
      <c r="AI55" s="440"/>
      <c r="AJ55" s="652"/>
      <c r="AK55" s="677"/>
      <c r="AL55" s="441"/>
      <c r="AM55" s="675"/>
      <c r="AN55" s="676"/>
      <c r="AO55" s="676"/>
      <c r="AP55" s="440"/>
      <c r="AQ55" s="677"/>
    </row>
    <row r="56" spans="1:43" ht="24" x14ac:dyDescent="0.25">
      <c r="A56" s="670"/>
      <c r="B56" s="671" t="s">
        <v>414</v>
      </c>
      <c r="C56" s="661"/>
      <c r="D56" s="662"/>
      <c r="E56" s="662"/>
      <c r="F56" s="662"/>
      <c r="G56" s="662"/>
      <c r="H56" s="662"/>
      <c r="I56" s="662"/>
      <c r="J56" s="662"/>
      <c r="K56" s="662"/>
      <c r="L56" s="662"/>
      <c r="M56" s="662"/>
      <c r="N56" s="663"/>
      <c r="O56" s="662"/>
      <c r="P56" s="662"/>
      <c r="Q56" s="662"/>
      <c r="R56" s="662"/>
      <c r="S56" s="662"/>
      <c r="T56" s="662"/>
      <c r="U56" s="662"/>
      <c r="V56" s="662"/>
      <c r="W56" s="662"/>
      <c r="X56" s="662"/>
      <c r="Y56" s="663"/>
      <c r="Z56" s="672"/>
      <c r="AA56" s="673"/>
      <c r="AB56" s="673"/>
      <c r="AC56" s="674"/>
      <c r="AD56" s="675"/>
      <c r="AE56" s="676"/>
      <c r="AF56" s="676"/>
      <c r="AG56" s="440"/>
      <c r="AH56" s="440"/>
      <c r="AI56" s="440"/>
      <c r="AJ56" s="652"/>
      <c r="AK56" s="677"/>
      <c r="AL56" s="441"/>
      <c r="AM56" s="675"/>
      <c r="AN56" s="676"/>
      <c r="AO56" s="676"/>
      <c r="AP56" s="440"/>
      <c r="AQ56" s="677"/>
    </row>
    <row r="57" spans="1:43" ht="24" x14ac:dyDescent="0.25">
      <c r="A57" s="670"/>
      <c r="B57" s="671" t="s">
        <v>415</v>
      </c>
      <c r="C57" s="661"/>
      <c r="D57" s="662"/>
      <c r="E57" s="662"/>
      <c r="F57" s="662"/>
      <c r="G57" s="662"/>
      <c r="H57" s="662"/>
      <c r="I57" s="662"/>
      <c r="J57" s="662"/>
      <c r="K57" s="662"/>
      <c r="L57" s="662"/>
      <c r="M57" s="662"/>
      <c r="N57" s="663"/>
      <c r="O57" s="662"/>
      <c r="P57" s="662"/>
      <c r="Q57" s="662"/>
      <c r="R57" s="662"/>
      <c r="S57" s="662"/>
      <c r="T57" s="662"/>
      <c r="U57" s="662"/>
      <c r="V57" s="662"/>
      <c r="W57" s="662"/>
      <c r="X57" s="662"/>
      <c r="Y57" s="663"/>
      <c r="Z57" s="672"/>
      <c r="AA57" s="673"/>
      <c r="AB57" s="673"/>
      <c r="AC57" s="674"/>
      <c r="AD57" s="675"/>
      <c r="AE57" s="676"/>
      <c r="AF57" s="676"/>
      <c r="AG57" s="440"/>
      <c r="AH57" s="440"/>
      <c r="AI57" s="440"/>
      <c r="AJ57" s="652"/>
      <c r="AK57" s="677"/>
      <c r="AL57" s="441"/>
      <c r="AM57" s="675"/>
      <c r="AN57" s="676"/>
      <c r="AO57" s="676"/>
      <c r="AP57" s="440"/>
      <c r="AQ57" s="677"/>
    </row>
    <row r="58" spans="1:43" ht="36" x14ac:dyDescent="0.25">
      <c r="A58" s="670"/>
      <c r="B58" s="671" t="s">
        <v>416</v>
      </c>
      <c r="C58" s="661"/>
      <c r="D58" s="662"/>
      <c r="E58" s="662"/>
      <c r="F58" s="662"/>
      <c r="G58" s="662"/>
      <c r="H58" s="662"/>
      <c r="I58" s="662"/>
      <c r="J58" s="662"/>
      <c r="K58" s="662"/>
      <c r="L58" s="662"/>
      <c r="M58" s="662"/>
      <c r="N58" s="663"/>
      <c r="O58" s="662"/>
      <c r="P58" s="662"/>
      <c r="Q58" s="662"/>
      <c r="R58" s="662"/>
      <c r="S58" s="662"/>
      <c r="T58" s="662"/>
      <c r="U58" s="662"/>
      <c r="V58" s="662"/>
      <c r="W58" s="662"/>
      <c r="X58" s="662"/>
      <c r="Y58" s="663"/>
      <c r="Z58" s="672"/>
      <c r="AA58" s="673"/>
      <c r="AB58" s="673"/>
      <c r="AC58" s="674"/>
      <c r="AD58" s="675"/>
      <c r="AE58" s="676"/>
      <c r="AF58" s="676"/>
      <c r="AG58" s="440"/>
      <c r="AH58" s="440"/>
      <c r="AI58" s="440"/>
      <c r="AJ58" s="652"/>
      <c r="AK58" s="677"/>
      <c r="AL58" s="441"/>
      <c r="AM58" s="675"/>
      <c r="AN58" s="676"/>
      <c r="AO58" s="676"/>
      <c r="AP58" s="440"/>
      <c r="AQ58" s="677"/>
    </row>
    <row r="59" spans="1:43" ht="24" x14ac:dyDescent="0.25">
      <c r="A59" s="670"/>
      <c r="B59" s="671" t="s">
        <v>436</v>
      </c>
      <c r="C59" s="661"/>
      <c r="D59" s="662"/>
      <c r="E59" s="662"/>
      <c r="F59" s="662"/>
      <c r="G59" s="662"/>
      <c r="H59" s="662"/>
      <c r="I59" s="662"/>
      <c r="J59" s="662"/>
      <c r="K59" s="662"/>
      <c r="L59" s="662"/>
      <c r="M59" s="662"/>
      <c r="N59" s="663"/>
      <c r="O59" s="662"/>
      <c r="P59" s="662"/>
      <c r="Q59" s="662"/>
      <c r="R59" s="662"/>
      <c r="S59" s="662"/>
      <c r="T59" s="662"/>
      <c r="U59" s="662"/>
      <c r="V59" s="662"/>
      <c r="W59" s="662"/>
      <c r="X59" s="662"/>
      <c r="Y59" s="663"/>
      <c r="Z59" s="672"/>
      <c r="AA59" s="673"/>
      <c r="AB59" s="673"/>
      <c r="AC59" s="674"/>
      <c r="AD59" s="675"/>
      <c r="AE59" s="676"/>
      <c r="AF59" s="676"/>
      <c r="AG59" s="440"/>
      <c r="AH59" s="440"/>
      <c r="AI59" s="440"/>
      <c r="AJ59" s="652"/>
      <c r="AK59" s="677"/>
      <c r="AL59" s="441"/>
      <c r="AM59" s="675"/>
      <c r="AN59" s="676"/>
      <c r="AO59" s="676"/>
      <c r="AP59" s="440"/>
      <c r="AQ59" s="677"/>
    </row>
    <row r="60" spans="1:43" x14ac:dyDescent="0.25">
      <c r="A60" s="670"/>
      <c r="B60" s="671" t="s">
        <v>419</v>
      </c>
      <c r="C60" s="661"/>
      <c r="D60" s="662"/>
      <c r="E60" s="662"/>
      <c r="F60" s="662"/>
      <c r="G60" s="662"/>
      <c r="H60" s="662"/>
      <c r="I60" s="662"/>
      <c r="J60" s="662"/>
      <c r="K60" s="662"/>
      <c r="L60" s="662"/>
      <c r="M60" s="662"/>
      <c r="N60" s="663"/>
      <c r="O60" s="662"/>
      <c r="P60" s="662"/>
      <c r="Q60" s="662"/>
      <c r="R60" s="662"/>
      <c r="S60" s="662"/>
      <c r="T60" s="662"/>
      <c r="U60" s="662"/>
      <c r="V60" s="662"/>
      <c r="W60" s="662"/>
      <c r="X60" s="662"/>
      <c r="Y60" s="663"/>
      <c r="Z60" s="672"/>
      <c r="AA60" s="673"/>
      <c r="AB60" s="673"/>
      <c r="AC60" s="674"/>
      <c r="AD60" s="675"/>
      <c r="AE60" s="676"/>
      <c r="AF60" s="676"/>
      <c r="AG60" s="440"/>
      <c r="AH60" s="440"/>
      <c r="AI60" s="440"/>
      <c r="AJ60" s="652"/>
      <c r="AK60" s="677"/>
      <c r="AL60" s="441"/>
      <c r="AM60" s="675"/>
      <c r="AN60" s="676"/>
      <c r="AO60" s="676"/>
      <c r="AP60" s="440"/>
      <c r="AQ60" s="677"/>
    </row>
    <row r="61" spans="1:43" ht="24" x14ac:dyDescent="0.25">
      <c r="A61" s="670"/>
      <c r="B61" s="671" t="s">
        <v>420</v>
      </c>
      <c r="C61" s="661"/>
      <c r="D61" s="662"/>
      <c r="E61" s="662"/>
      <c r="F61" s="662"/>
      <c r="G61" s="662"/>
      <c r="H61" s="662"/>
      <c r="I61" s="662"/>
      <c r="J61" s="662"/>
      <c r="K61" s="662"/>
      <c r="L61" s="662"/>
      <c r="M61" s="662"/>
      <c r="N61" s="663"/>
      <c r="O61" s="662"/>
      <c r="P61" s="662"/>
      <c r="Q61" s="662"/>
      <c r="R61" s="662"/>
      <c r="S61" s="662"/>
      <c r="T61" s="662"/>
      <c r="U61" s="662"/>
      <c r="V61" s="662"/>
      <c r="W61" s="662"/>
      <c r="X61" s="662"/>
      <c r="Y61" s="663"/>
      <c r="Z61" s="672"/>
      <c r="AA61" s="673"/>
      <c r="AB61" s="673"/>
      <c r="AC61" s="674"/>
      <c r="AD61" s="675"/>
      <c r="AE61" s="676"/>
      <c r="AF61" s="676"/>
      <c r="AG61" s="440"/>
      <c r="AH61" s="440"/>
      <c r="AI61" s="440"/>
      <c r="AJ61" s="652"/>
      <c r="AK61" s="677"/>
      <c r="AL61" s="441"/>
      <c r="AM61" s="675"/>
      <c r="AN61" s="676"/>
      <c r="AO61" s="676"/>
      <c r="AP61" s="440"/>
      <c r="AQ61" s="677"/>
    </row>
    <row r="62" spans="1:43" x14ac:dyDescent="0.25">
      <c r="A62" s="670"/>
      <c r="B62" s="671" t="s">
        <v>421</v>
      </c>
      <c r="C62" s="661"/>
      <c r="D62" s="662"/>
      <c r="E62" s="662"/>
      <c r="F62" s="662"/>
      <c r="G62" s="662"/>
      <c r="H62" s="662"/>
      <c r="I62" s="662"/>
      <c r="J62" s="662"/>
      <c r="K62" s="662"/>
      <c r="L62" s="662"/>
      <c r="M62" s="662"/>
      <c r="N62" s="663"/>
      <c r="O62" s="662"/>
      <c r="P62" s="662"/>
      <c r="Q62" s="662"/>
      <c r="R62" s="662"/>
      <c r="S62" s="662"/>
      <c r="T62" s="662"/>
      <c r="U62" s="662"/>
      <c r="V62" s="662"/>
      <c r="W62" s="662"/>
      <c r="X62" s="662"/>
      <c r="Y62" s="663"/>
      <c r="Z62" s="672"/>
      <c r="AA62" s="673"/>
      <c r="AB62" s="673"/>
      <c r="AC62" s="674"/>
      <c r="AD62" s="675"/>
      <c r="AE62" s="676"/>
      <c r="AF62" s="676"/>
      <c r="AG62" s="440"/>
      <c r="AH62" s="440"/>
      <c r="AI62" s="440"/>
      <c r="AJ62" s="652"/>
      <c r="AK62" s="677"/>
      <c r="AL62" s="441"/>
      <c r="AM62" s="675"/>
      <c r="AN62" s="676"/>
      <c r="AO62" s="676"/>
      <c r="AP62" s="440"/>
      <c r="AQ62" s="677"/>
    </row>
    <row r="63" spans="1:43" x14ac:dyDescent="0.25">
      <c r="A63" s="670"/>
      <c r="B63" s="671" t="s">
        <v>422</v>
      </c>
      <c r="C63" s="661"/>
      <c r="D63" s="662"/>
      <c r="E63" s="662"/>
      <c r="F63" s="662"/>
      <c r="G63" s="662"/>
      <c r="H63" s="662"/>
      <c r="I63" s="662"/>
      <c r="J63" s="662"/>
      <c r="K63" s="662"/>
      <c r="L63" s="662"/>
      <c r="M63" s="662"/>
      <c r="N63" s="663"/>
      <c r="O63" s="662"/>
      <c r="P63" s="662"/>
      <c r="Q63" s="662"/>
      <c r="R63" s="662"/>
      <c r="S63" s="662"/>
      <c r="T63" s="662"/>
      <c r="U63" s="662"/>
      <c r="V63" s="662"/>
      <c r="W63" s="662"/>
      <c r="X63" s="662"/>
      <c r="Y63" s="663"/>
      <c r="Z63" s="672"/>
      <c r="AA63" s="673"/>
      <c r="AB63" s="673"/>
      <c r="AC63" s="674"/>
      <c r="AD63" s="675"/>
      <c r="AE63" s="676"/>
      <c r="AF63" s="676"/>
      <c r="AG63" s="440"/>
      <c r="AH63" s="440"/>
      <c r="AI63" s="440"/>
      <c r="AJ63" s="652"/>
      <c r="AK63" s="677"/>
      <c r="AL63" s="441"/>
      <c r="AM63" s="675"/>
      <c r="AN63" s="676"/>
      <c r="AO63" s="676"/>
      <c r="AP63" s="440"/>
      <c r="AQ63" s="677"/>
    </row>
    <row r="64" spans="1:43" x14ac:dyDescent="0.25">
      <c r="A64" s="670"/>
      <c r="B64" s="671" t="s">
        <v>423</v>
      </c>
      <c r="C64" s="661"/>
      <c r="D64" s="662"/>
      <c r="E64" s="662"/>
      <c r="F64" s="662"/>
      <c r="G64" s="662"/>
      <c r="H64" s="662"/>
      <c r="I64" s="662"/>
      <c r="J64" s="662"/>
      <c r="K64" s="662"/>
      <c r="L64" s="662"/>
      <c r="M64" s="662"/>
      <c r="N64" s="663"/>
      <c r="O64" s="662"/>
      <c r="P64" s="662"/>
      <c r="Q64" s="662"/>
      <c r="R64" s="662"/>
      <c r="S64" s="662"/>
      <c r="T64" s="662"/>
      <c r="U64" s="662"/>
      <c r="V64" s="662"/>
      <c r="W64" s="662"/>
      <c r="X64" s="662"/>
      <c r="Y64" s="663"/>
      <c r="Z64" s="672"/>
      <c r="AA64" s="673"/>
      <c r="AB64" s="673"/>
      <c r="AC64" s="674"/>
      <c r="AD64" s="675"/>
      <c r="AE64" s="676"/>
      <c r="AF64" s="676"/>
      <c r="AG64" s="440"/>
      <c r="AH64" s="440"/>
      <c r="AI64" s="440"/>
      <c r="AJ64" s="652"/>
      <c r="AK64" s="677"/>
      <c r="AL64" s="441"/>
      <c r="AM64" s="675"/>
      <c r="AN64" s="676"/>
      <c r="AO64" s="676"/>
      <c r="AP64" s="440"/>
      <c r="AQ64" s="677"/>
    </row>
    <row r="65" spans="1:43" x14ac:dyDescent="0.25">
      <c r="A65" s="670"/>
      <c r="B65" s="671" t="s">
        <v>424</v>
      </c>
      <c r="C65" s="661"/>
      <c r="D65" s="662"/>
      <c r="E65" s="662"/>
      <c r="F65" s="662"/>
      <c r="G65" s="662"/>
      <c r="H65" s="662"/>
      <c r="I65" s="662"/>
      <c r="J65" s="662"/>
      <c r="K65" s="662"/>
      <c r="L65" s="662"/>
      <c r="M65" s="662"/>
      <c r="N65" s="663"/>
      <c r="O65" s="662"/>
      <c r="P65" s="662"/>
      <c r="Q65" s="662"/>
      <c r="R65" s="662"/>
      <c r="S65" s="662"/>
      <c r="T65" s="662"/>
      <c r="U65" s="662"/>
      <c r="V65" s="662"/>
      <c r="W65" s="662"/>
      <c r="X65" s="662"/>
      <c r="Y65" s="663"/>
      <c r="Z65" s="672"/>
      <c r="AA65" s="673"/>
      <c r="AB65" s="673"/>
      <c r="AC65" s="674"/>
      <c r="AD65" s="675"/>
      <c r="AE65" s="676"/>
      <c r="AF65" s="676"/>
      <c r="AG65" s="440"/>
      <c r="AH65" s="440"/>
      <c r="AI65" s="440"/>
      <c r="AJ65" s="652"/>
      <c r="AK65" s="677"/>
      <c r="AL65" s="441"/>
      <c r="AM65" s="675"/>
      <c r="AN65" s="676"/>
      <c r="AO65" s="676"/>
      <c r="AP65" s="440"/>
      <c r="AQ65" s="677"/>
    </row>
    <row r="66" spans="1:43" ht="24" x14ac:dyDescent="0.25">
      <c r="A66" s="670"/>
      <c r="B66" s="671" t="s">
        <v>481</v>
      </c>
      <c r="C66" s="661"/>
      <c r="D66" s="662"/>
      <c r="E66" s="662"/>
      <c r="F66" s="662"/>
      <c r="G66" s="662"/>
      <c r="H66" s="662"/>
      <c r="I66" s="662"/>
      <c r="J66" s="662"/>
      <c r="K66" s="662"/>
      <c r="L66" s="662"/>
      <c r="M66" s="662"/>
      <c r="N66" s="663"/>
      <c r="O66" s="662"/>
      <c r="P66" s="662"/>
      <c r="Q66" s="662"/>
      <c r="R66" s="662"/>
      <c r="S66" s="662"/>
      <c r="T66" s="662"/>
      <c r="U66" s="662"/>
      <c r="V66" s="662"/>
      <c r="W66" s="662"/>
      <c r="X66" s="662"/>
      <c r="Y66" s="663"/>
      <c r="Z66" s="672"/>
      <c r="AA66" s="673"/>
      <c r="AB66" s="673"/>
      <c r="AC66" s="674"/>
      <c r="AD66" s="675"/>
      <c r="AE66" s="676"/>
      <c r="AF66" s="676"/>
      <c r="AG66" s="440"/>
      <c r="AH66" s="440"/>
      <c r="AI66" s="440"/>
      <c r="AJ66" s="652"/>
      <c r="AK66" s="677"/>
      <c r="AL66" s="441"/>
      <c r="AM66" s="675"/>
      <c r="AN66" s="676"/>
      <c r="AO66" s="676"/>
      <c r="AP66" s="440"/>
      <c r="AQ66" s="677"/>
    </row>
    <row r="67" spans="1:43" x14ac:dyDescent="0.25">
      <c r="A67" s="670"/>
      <c r="B67" s="671" t="s">
        <v>486</v>
      </c>
      <c r="C67" s="661"/>
      <c r="D67" s="662"/>
      <c r="E67" s="662"/>
      <c r="F67" s="662"/>
      <c r="G67" s="662"/>
      <c r="H67" s="662"/>
      <c r="I67" s="662"/>
      <c r="J67" s="662"/>
      <c r="K67" s="662"/>
      <c r="L67" s="662"/>
      <c r="M67" s="662"/>
      <c r="N67" s="663"/>
      <c r="O67" s="662"/>
      <c r="P67" s="662"/>
      <c r="Q67" s="662"/>
      <c r="R67" s="662"/>
      <c r="S67" s="662"/>
      <c r="T67" s="662"/>
      <c r="U67" s="662"/>
      <c r="V67" s="662"/>
      <c r="W67" s="662"/>
      <c r="X67" s="662"/>
      <c r="Y67" s="663"/>
      <c r="Z67" s="672"/>
      <c r="AA67" s="673"/>
      <c r="AB67" s="673"/>
      <c r="AC67" s="674"/>
      <c r="AD67" s="675"/>
      <c r="AE67" s="676"/>
      <c r="AF67" s="676"/>
      <c r="AG67" s="440"/>
      <c r="AH67" s="440"/>
      <c r="AI67" s="440"/>
      <c r="AJ67" s="652"/>
      <c r="AK67" s="677"/>
      <c r="AL67" s="441"/>
      <c r="AM67" s="675"/>
      <c r="AN67" s="676"/>
      <c r="AO67" s="676"/>
      <c r="AP67" s="440"/>
      <c r="AQ67" s="677"/>
    </row>
    <row r="68" spans="1:43" ht="24" x14ac:dyDescent="0.25">
      <c r="A68" s="670"/>
      <c r="B68" s="671" t="s">
        <v>482</v>
      </c>
      <c r="C68" s="661"/>
      <c r="D68" s="662"/>
      <c r="E68" s="662"/>
      <c r="F68" s="662"/>
      <c r="G68" s="662"/>
      <c r="H68" s="662"/>
      <c r="I68" s="662"/>
      <c r="J68" s="662"/>
      <c r="K68" s="662"/>
      <c r="L68" s="662"/>
      <c r="M68" s="662"/>
      <c r="N68" s="663"/>
      <c r="O68" s="662"/>
      <c r="P68" s="662"/>
      <c r="Q68" s="662"/>
      <c r="R68" s="662"/>
      <c r="S68" s="662"/>
      <c r="T68" s="662"/>
      <c r="U68" s="662"/>
      <c r="V68" s="662"/>
      <c r="W68" s="662"/>
      <c r="X68" s="662"/>
      <c r="Y68" s="663"/>
      <c r="Z68" s="672"/>
      <c r="AA68" s="673"/>
      <c r="AB68" s="673"/>
      <c r="AC68" s="674"/>
      <c r="AD68" s="675"/>
      <c r="AE68" s="676"/>
      <c r="AF68" s="676"/>
      <c r="AG68" s="440"/>
      <c r="AH68" s="440"/>
      <c r="AI68" s="440"/>
      <c r="AJ68" s="652"/>
      <c r="AK68" s="677"/>
      <c r="AL68" s="441"/>
      <c r="AM68" s="675"/>
      <c r="AN68" s="676"/>
      <c r="AO68" s="676"/>
      <c r="AP68" s="440"/>
      <c r="AQ68" s="677"/>
    </row>
    <row r="69" spans="1:43" x14ac:dyDescent="0.25">
      <c r="A69" s="670"/>
      <c r="B69" s="671" t="s">
        <v>487</v>
      </c>
      <c r="C69" s="661"/>
      <c r="D69" s="662"/>
      <c r="E69" s="662"/>
      <c r="F69" s="662"/>
      <c r="G69" s="662"/>
      <c r="H69" s="662"/>
      <c r="I69" s="662"/>
      <c r="J69" s="662"/>
      <c r="K69" s="662"/>
      <c r="L69" s="662"/>
      <c r="M69" s="662"/>
      <c r="N69" s="663"/>
      <c r="O69" s="662"/>
      <c r="P69" s="662"/>
      <c r="Q69" s="662"/>
      <c r="R69" s="662"/>
      <c r="S69" s="662"/>
      <c r="T69" s="662"/>
      <c r="U69" s="662"/>
      <c r="V69" s="662"/>
      <c r="W69" s="662"/>
      <c r="X69" s="662"/>
      <c r="Y69" s="663"/>
      <c r="Z69" s="672"/>
      <c r="AA69" s="673"/>
      <c r="AB69" s="673"/>
      <c r="AC69" s="674"/>
      <c r="AD69" s="675"/>
      <c r="AE69" s="676"/>
      <c r="AF69" s="676"/>
      <c r="AG69" s="440"/>
      <c r="AH69" s="440"/>
      <c r="AI69" s="440"/>
      <c r="AJ69" s="652"/>
      <c r="AK69" s="677"/>
      <c r="AL69" s="441"/>
      <c r="AM69" s="675"/>
      <c r="AN69" s="676"/>
      <c r="AO69" s="676"/>
      <c r="AP69" s="440"/>
      <c r="AQ69" s="677"/>
    </row>
    <row r="70" spans="1:43" x14ac:dyDescent="0.25">
      <c r="A70" s="670"/>
      <c r="B70" s="671" t="s">
        <v>483</v>
      </c>
      <c r="C70" s="661"/>
      <c r="D70" s="662"/>
      <c r="E70" s="662"/>
      <c r="F70" s="662"/>
      <c r="G70" s="662"/>
      <c r="H70" s="662"/>
      <c r="I70" s="662"/>
      <c r="J70" s="662"/>
      <c r="K70" s="662"/>
      <c r="L70" s="662"/>
      <c r="M70" s="662"/>
      <c r="N70" s="663"/>
      <c r="O70" s="662"/>
      <c r="P70" s="662"/>
      <c r="Q70" s="662"/>
      <c r="R70" s="662"/>
      <c r="S70" s="662"/>
      <c r="T70" s="662"/>
      <c r="U70" s="662"/>
      <c r="V70" s="662"/>
      <c r="W70" s="662"/>
      <c r="X70" s="662"/>
      <c r="Y70" s="663"/>
      <c r="Z70" s="672"/>
      <c r="AA70" s="673"/>
      <c r="AB70" s="673"/>
      <c r="AC70" s="674"/>
      <c r="AD70" s="675"/>
      <c r="AE70" s="676"/>
      <c r="AF70" s="676"/>
      <c r="AG70" s="440"/>
      <c r="AH70" s="440"/>
      <c r="AI70" s="440"/>
      <c r="AJ70" s="652"/>
      <c r="AK70" s="677"/>
      <c r="AL70" s="441"/>
      <c r="AM70" s="675"/>
      <c r="AN70" s="676"/>
      <c r="AO70" s="676"/>
      <c r="AP70" s="440"/>
      <c r="AQ70" s="677"/>
    </row>
    <row r="71" spans="1:43" ht="39.6" customHeight="1" x14ac:dyDescent="0.25">
      <c r="A71" s="670"/>
      <c r="B71" s="671" t="s">
        <v>484</v>
      </c>
      <c r="C71" s="661"/>
      <c r="D71" s="662"/>
      <c r="E71" s="662"/>
      <c r="F71" s="662"/>
      <c r="G71" s="662"/>
      <c r="H71" s="662"/>
      <c r="I71" s="662"/>
      <c r="J71" s="662"/>
      <c r="K71" s="662"/>
      <c r="L71" s="662"/>
      <c r="M71" s="662"/>
      <c r="N71" s="663"/>
      <c r="O71" s="662"/>
      <c r="P71" s="662"/>
      <c r="Q71" s="662"/>
      <c r="R71" s="662"/>
      <c r="S71" s="662"/>
      <c r="T71" s="662"/>
      <c r="U71" s="662"/>
      <c r="V71" s="662"/>
      <c r="W71" s="662"/>
      <c r="X71" s="662"/>
      <c r="Y71" s="663"/>
      <c r="Z71" s="672"/>
      <c r="AA71" s="673"/>
      <c r="AB71" s="673"/>
      <c r="AC71" s="674"/>
      <c r="AD71" s="675"/>
      <c r="AE71" s="676"/>
      <c r="AF71" s="676"/>
      <c r="AG71" s="440"/>
      <c r="AH71" s="440"/>
      <c r="AI71" s="440"/>
      <c r="AJ71" s="652"/>
      <c r="AK71" s="677"/>
      <c r="AL71" s="441"/>
      <c r="AM71" s="675"/>
      <c r="AN71" s="676"/>
      <c r="AO71" s="676"/>
      <c r="AP71" s="440"/>
      <c r="AQ71" s="677"/>
    </row>
    <row r="72" spans="1:43" ht="36" x14ac:dyDescent="0.25">
      <c r="A72" s="678"/>
      <c r="B72" s="679" t="s">
        <v>425</v>
      </c>
      <c r="C72" s="249"/>
      <c r="D72" s="250"/>
      <c r="E72" s="250"/>
      <c r="F72" s="250"/>
      <c r="G72" s="250"/>
      <c r="H72" s="250"/>
      <c r="I72" s="250"/>
      <c r="J72" s="250"/>
      <c r="K72" s="250"/>
      <c r="L72" s="250"/>
      <c r="M72" s="250"/>
      <c r="N72" s="251"/>
      <c r="O72" s="250"/>
      <c r="P72" s="250"/>
      <c r="Q72" s="250"/>
      <c r="R72" s="250"/>
      <c r="S72" s="250"/>
      <c r="T72" s="250"/>
      <c r="U72" s="250"/>
      <c r="V72" s="250"/>
      <c r="W72" s="250"/>
      <c r="X72" s="250"/>
      <c r="Y72" s="251"/>
      <c r="Z72" s="655"/>
      <c r="AA72" s="656"/>
      <c r="AB72" s="656"/>
      <c r="AC72" s="657"/>
      <c r="AD72" s="680"/>
      <c r="AE72" s="681"/>
      <c r="AF72" s="681"/>
      <c r="AG72" s="440"/>
      <c r="AH72" s="440"/>
      <c r="AI72" s="440"/>
      <c r="AJ72" s="652"/>
      <c r="AK72" s="658"/>
      <c r="AL72" s="441"/>
      <c r="AM72" s="680"/>
      <c r="AN72" s="681"/>
      <c r="AO72" s="681"/>
      <c r="AP72" s="440"/>
      <c r="AQ72" s="658"/>
    </row>
    <row r="73" spans="1:43" ht="15" customHeight="1" x14ac:dyDescent="0.25">
      <c r="A73" s="659" t="s">
        <v>691</v>
      </c>
      <c r="B73" s="660" t="s">
        <v>402</v>
      </c>
      <c r="C73" s="683"/>
      <c r="D73" s="684"/>
      <c r="E73" s="684"/>
      <c r="F73" s="684"/>
      <c r="G73" s="953"/>
      <c r="H73" s="953"/>
      <c r="I73" s="953"/>
      <c r="J73" s="953"/>
      <c r="K73" s="953"/>
      <c r="L73" s="953"/>
      <c r="M73" s="953"/>
      <c r="N73" s="954"/>
      <c r="O73" s="953"/>
      <c r="P73" s="953"/>
      <c r="Q73" s="953"/>
      <c r="R73" s="953"/>
      <c r="S73" s="953"/>
      <c r="T73" s="684"/>
      <c r="U73" s="684"/>
      <c r="V73" s="684"/>
      <c r="W73" s="684"/>
      <c r="X73" s="684"/>
      <c r="Y73" s="685"/>
      <c r="Z73" s="686"/>
      <c r="AA73" s="687"/>
      <c r="AB73" s="687"/>
      <c r="AC73" s="688"/>
      <c r="AD73" s="667">
        <v>540</v>
      </c>
      <c r="AE73" s="668">
        <v>750</v>
      </c>
      <c r="AF73" s="668">
        <v>920</v>
      </c>
      <c r="AG73" s="440">
        <f>AD73*AF73</f>
        <v>496800</v>
      </c>
      <c r="AH73" s="440">
        <f>AE73*AF73</f>
        <v>690000</v>
      </c>
      <c r="AI73" s="440">
        <f t="shared" ref="AI73" si="2">AH73-AG73</f>
        <v>193200</v>
      </c>
      <c r="AJ73" s="652">
        <v>77142</v>
      </c>
      <c r="AK73" s="689"/>
      <c r="AL73" s="667"/>
      <c r="AM73" s="667"/>
      <c r="AN73" s="668"/>
      <c r="AO73" s="668"/>
      <c r="AP73" s="440">
        <f t="shared" si="1"/>
        <v>0</v>
      </c>
      <c r="AQ73" s="689"/>
    </row>
    <row r="74" spans="1:43" ht="72" x14ac:dyDescent="0.25">
      <c r="A74" s="670"/>
      <c r="B74" s="671" t="s">
        <v>485</v>
      </c>
      <c r="C74" s="661"/>
      <c r="D74" s="662"/>
      <c r="E74" s="662"/>
      <c r="F74" s="662"/>
      <c r="G74" s="662"/>
      <c r="H74" s="662"/>
      <c r="I74" s="662"/>
      <c r="J74" s="662"/>
      <c r="K74" s="662"/>
      <c r="L74" s="662"/>
      <c r="M74" s="662"/>
      <c r="N74" s="663"/>
      <c r="O74" s="662"/>
      <c r="P74" s="662"/>
      <c r="Q74" s="662"/>
      <c r="R74" s="662"/>
      <c r="S74" s="662"/>
      <c r="T74" s="662"/>
      <c r="U74" s="662"/>
      <c r="V74" s="662"/>
      <c r="W74" s="662"/>
      <c r="X74" s="662"/>
      <c r="Y74" s="663"/>
      <c r="Z74" s="672"/>
      <c r="AA74" s="673"/>
      <c r="AB74" s="673"/>
      <c r="AC74" s="674"/>
      <c r="AD74" s="675"/>
      <c r="AE74" s="676"/>
      <c r="AF74" s="676"/>
      <c r="AG74" s="440"/>
      <c r="AH74" s="440"/>
      <c r="AI74" s="440"/>
      <c r="AJ74" s="652"/>
      <c r="AK74" s="677"/>
      <c r="AL74" s="675"/>
      <c r="AM74" s="675"/>
      <c r="AN74" s="676"/>
      <c r="AO74" s="676"/>
      <c r="AP74" s="440"/>
      <c r="AQ74" s="677"/>
    </row>
    <row r="75" spans="1:43" ht="72" x14ac:dyDescent="0.25">
      <c r="A75" s="678"/>
      <c r="B75" s="679" t="s">
        <v>403</v>
      </c>
      <c r="C75" s="249"/>
      <c r="D75" s="250"/>
      <c r="E75" s="250"/>
      <c r="F75" s="250"/>
      <c r="G75" s="250"/>
      <c r="H75" s="250"/>
      <c r="I75" s="250"/>
      <c r="J75" s="250"/>
      <c r="K75" s="250"/>
      <c r="L75" s="250"/>
      <c r="M75" s="250"/>
      <c r="N75" s="251"/>
      <c r="O75" s="250"/>
      <c r="P75" s="250"/>
      <c r="Q75" s="250"/>
      <c r="R75" s="250"/>
      <c r="S75" s="250"/>
      <c r="T75" s="250"/>
      <c r="U75" s="250"/>
      <c r="V75" s="250"/>
      <c r="W75" s="250"/>
      <c r="X75" s="250"/>
      <c r="Y75" s="251"/>
      <c r="Z75" s="655"/>
      <c r="AA75" s="656"/>
      <c r="AB75" s="656"/>
      <c r="AC75" s="657"/>
      <c r="AD75" s="680"/>
      <c r="AE75" s="681"/>
      <c r="AF75" s="681"/>
      <c r="AG75" s="440"/>
      <c r="AH75" s="440"/>
      <c r="AI75" s="440"/>
      <c r="AJ75" s="652"/>
      <c r="AK75" s="658"/>
      <c r="AL75" s="680"/>
      <c r="AM75" s="680"/>
      <c r="AN75" s="681"/>
      <c r="AO75" s="681"/>
      <c r="AP75" s="440"/>
      <c r="AQ75" s="658"/>
    </row>
    <row r="76" spans="1:43" ht="15" customHeight="1" x14ac:dyDescent="0.25">
      <c r="A76" s="659" t="s">
        <v>692</v>
      </c>
      <c r="B76" s="660" t="s">
        <v>417</v>
      </c>
      <c r="C76" s="683"/>
      <c r="D76" s="684"/>
      <c r="E76" s="684"/>
      <c r="F76" s="684"/>
      <c r="G76" s="684"/>
      <c r="H76" s="684"/>
      <c r="I76" s="684"/>
      <c r="J76" s="953"/>
      <c r="K76" s="953"/>
      <c r="L76" s="953"/>
      <c r="M76" s="953"/>
      <c r="N76" s="954"/>
      <c r="O76" s="953"/>
      <c r="P76" s="953"/>
      <c r="Q76" s="953"/>
      <c r="R76" s="953"/>
      <c r="S76" s="953"/>
      <c r="T76" s="953"/>
      <c r="U76" s="953"/>
      <c r="V76" s="953"/>
      <c r="W76" s="953"/>
      <c r="X76" s="953"/>
      <c r="Y76" s="954"/>
      <c r="Z76" s="686"/>
      <c r="AA76" s="687"/>
      <c r="AB76" s="687"/>
      <c r="AC76" s="688"/>
      <c r="AD76" s="667">
        <v>475</v>
      </c>
      <c r="AE76" s="668">
        <v>680</v>
      </c>
      <c r="AF76" s="668">
        <v>920</v>
      </c>
      <c r="AG76" s="440">
        <f>AD76*AF76</f>
        <v>437000</v>
      </c>
      <c r="AH76" s="440">
        <f>AE76*AF76</f>
        <v>625600</v>
      </c>
      <c r="AI76" s="440">
        <f t="shared" ref="AI76" si="3">AH76-AG76</f>
        <v>188600</v>
      </c>
      <c r="AJ76" s="652">
        <v>69069</v>
      </c>
      <c r="AK76" s="689"/>
      <c r="AL76" s="667"/>
      <c r="AM76" s="667"/>
      <c r="AN76" s="668"/>
      <c r="AO76" s="668"/>
      <c r="AP76" s="440">
        <f t="shared" si="1"/>
        <v>0</v>
      </c>
      <c r="AQ76" s="689"/>
    </row>
    <row r="77" spans="1:43" ht="48" x14ac:dyDescent="0.25">
      <c r="A77" s="670"/>
      <c r="B77" s="671" t="s">
        <v>418</v>
      </c>
      <c r="C77" s="661"/>
      <c r="D77" s="662"/>
      <c r="E77" s="662"/>
      <c r="F77" s="662"/>
      <c r="G77" s="662"/>
      <c r="H77" s="662"/>
      <c r="I77" s="662"/>
      <c r="J77" s="662"/>
      <c r="K77" s="662"/>
      <c r="L77" s="662"/>
      <c r="M77" s="662"/>
      <c r="N77" s="663"/>
      <c r="O77" s="662"/>
      <c r="P77" s="662"/>
      <c r="Q77" s="662"/>
      <c r="R77" s="662"/>
      <c r="S77" s="662"/>
      <c r="T77" s="662"/>
      <c r="U77" s="662"/>
      <c r="V77" s="662"/>
      <c r="W77" s="662"/>
      <c r="X77" s="662"/>
      <c r="Y77" s="663"/>
      <c r="Z77" s="672"/>
      <c r="AA77" s="673"/>
      <c r="AB77" s="673"/>
      <c r="AC77" s="674"/>
      <c r="AD77" s="675"/>
      <c r="AE77" s="676"/>
      <c r="AF77" s="676"/>
      <c r="AG77" s="440"/>
      <c r="AH77" s="440"/>
      <c r="AI77" s="440"/>
      <c r="AJ77" s="652"/>
      <c r="AK77" s="677"/>
      <c r="AL77" s="675"/>
      <c r="AM77" s="675"/>
      <c r="AN77" s="676"/>
      <c r="AO77" s="676"/>
      <c r="AP77" s="440"/>
      <c r="AQ77" s="677"/>
    </row>
    <row r="78" spans="1:43" x14ac:dyDescent="0.25">
      <c r="A78" s="670"/>
      <c r="B78" s="671" t="s">
        <v>466</v>
      </c>
      <c r="C78" s="661"/>
      <c r="D78" s="662"/>
      <c r="E78" s="662"/>
      <c r="F78" s="662"/>
      <c r="G78" s="662"/>
      <c r="H78" s="662"/>
      <c r="I78" s="662"/>
      <c r="J78" s="662"/>
      <c r="K78" s="662"/>
      <c r="L78" s="662"/>
      <c r="M78" s="662"/>
      <c r="N78" s="663"/>
      <c r="O78" s="662"/>
      <c r="P78" s="662"/>
      <c r="Q78" s="662"/>
      <c r="R78" s="662"/>
      <c r="S78" s="662"/>
      <c r="T78" s="662"/>
      <c r="U78" s="662"/>
      <c r="V78" s="662"/>
      <c r="W78" s="662"/>
      <c r="X78" s="662"/>
      <c r="Y78" s="663"/>
      <c r="Z78" s="672"/>
      <c r="AA78" s="673"/>
      <c r="AB78" s="673"/>
      <c r="AC78" s="674"/>
      <c r="AD78" s="675"/>
      <c r="AE78" s="676"/>
      <c r="AF78" s="676"/>
      <c r="AG78" s="440"/>
      <c r="AH78" s="440"/>
      <c r="AI78" s="440"/>
      <c r="AJ78" s="652"/>
      <c r="AK78" s="677"/>
      <c r="AL78" s="675"/>
      <c r="AM78" s="675"/>
      <c r="AN78" s="676"/>
      <c r="AO78" s="676"/>
      <c r="AP78" s="440"/>
      <c r="AQ78" s="677"/>
    </row>
    <row r="79" spans="1:43" x14ac:dyDescent="0.25">
      <c r="A79" s="670"/>
      <c r="B79" s="671" t="s">
        <v>467</v>
      </c>
      <c r="C79" s="661"/>
      <c r="D79" s="662"/>
      <c r="E79" s="662"/>
      <c r="F79" s="662"/>
      <c r="G79" s="662"/>
      <c r="H79" s="662"/>
      <c r="I79" s="662"/>
      <c r="J79" s="662"/>
      <c r="K79" s="662"/>
      <c r="L79" s="662"/>
      <c r="M79" s="662"/>
      <c r="N79" s="663"/>
      <c r="O79" s="662"/>
      <c r="P79" s="662"/>
      <c r="Q79" s="662"/>
      <c r="R79" s="662"/>
      <c r="S79" s="662"/>
      <c r="T79" s="662"/>
      <c r="U79" s="662"/>
      <c r="V79" s="662"/>
      <c r="W79" s="662"/>
      <c r="X79" s="662"/>
      <c r="Y79" s="663"/>
      <c r="Z79" s="672"/>
      <c r="AA79" s="673"/>
      <c r="AB79" s="673"/>
      <c r="AC79" s="674"/>
      <c r="AD79" s="675"/>
      <c r="AE79" s="676"/>
      <c r="AF79" s="676"/>
      <c r="AG79" s="440"/>
      <c r="AH79" s="440"/>
      <c r="AI79" s="440"/>
      <c r="AJ79" s="652"/>
      <c r="AK79" s="677"/>
      <c r="AL79" s="675"/>
      <c r="AM79" s="675"/>
      <c r="AN79" s="676"/>
      <c r="AO79" s="676"/>
      <c r="AP79" s="440"/>
      <c r="AQ79" s="677"/>
    </row>
    <row r="80" spans="1:43" x14ac:dyDescent="0.25">
      <c r="A80" s="670"/>
      <c r="B80" s="671" t="s">
        <v>468</v>
      </c>
      <c r="C80" s="661"/>
      <c r="D80" s="662"/>
      <c r="E80" s="662"/>
      <c r="F80" s="662"/>
      <c r="G80" s="662"/>
      <c r="H80" s="662"/>
      <c r="I80" s="662"/>
      <c r="J80" s="662"/>
      <c r="K80" s="662"/>
      <c r="L80" s="662"/>
      <c r="M80" s="662"/>
      <c r="N80" s="663"/>
      <c r="O80" s="662"/>
      <c r="P80" s="662"/>
      <c r="Q80" s="662"/>
      <c r="R80" s="662"/>
      <c r="S80" s="662"/>
      <c r="T80" s="662"/>
      <c r="U80" s="662"/>
      <c r="V80" s="662"/>
      <c r="W80" s="662"/>
      <c r="X80" s="662"/>
      <c r="Y80" s="663"/>
      <c r="Z80" s="672"/>
      <c r="AA80" s="673"/>
      <c r="AB80" s="673"/>
      <c r="AC80" s="674"/>
      <c r="AD80" s="675"/>
      <c r="AE80" s="676"/>
      <c r="AF80" s="676"/>
      <c r="AG80" s="440"/>
      <c r="AH80" s="440"/>
      <c r="AI80" s="440"/>
      <c r="AJ80" s="652"/>
      <c r="AK80" s="677"/>
      <c r="AL80" s="675"/>
      <c r="AM80" s="675"/>
      <c r="AN80" s="676"/>
      <c r="AO80" s="676"/>
      <c r="AP80" s="440"/>
      <c r="AQ80" s="677"/>
    </row>
    <row r="81" spans="1:43" x14ac:dyDescent="0.25">
      <c r="A81" s="670"/>
      <c r="B81" s="671" t="s">
        <v>469</v>
      </c>
      <c r="C81" s="661"/>
      <c r="D81" s="662"/>
      <c r="E81" s="662"/>
      <c r="F81" s="662"/>
      <c r="G81" s="662"/>
      <c r="H81" s="662"/>
      <c r="I81" s="662"/>
      <c r="J81" s="662"/>
      <c r="K81" s="662"/>
      <c r="L81" s="662"/>
      <c r="M81" s="662"/>
      <c r="N81" s="663"/>
      <c r="O81" s="662"/>
      <c r="P81" s="662"/>
      <c r="Q81" s="662"/>
      <c r="R81" s="662"/>
      <c r="S81" s="662"/>
      <c r="T81" s="662"/>
      <c r="U81" s="662"/>
      <c r="V81" s="662"/>
      <c r="W81" s="662"/>
      <c r="X81" s="662"/>
      <c r="Y81" s="663"/>
      <c r="Z81" s="672"/>
      <c r="AA81" s="673"/>
      <c r="AB81" s="673"/>
      <c r="AC81" s="674"/>
      <c r="AD81" s="675"/>
      <c r="AE81" s="676"/>
      <c r="AF81" s="676"/>
      <c r="AG81" s="440"/>
      <c r="AH81" s="440"/>
      <c r="AI81" s="440"/>
      <c r="AJ81" s="652"/>
      <c r="AK81" s="677"/>
      <c r="AL81" s="675"/>
      <c r="AM81" s="675"/>
      <c r="AN81" s="676"/>
      <c r="AO81" s="676"/>
      <c r="AP81" s="440"/>
      <c r="AQ81" s="677"/>
    </row>
    <row r="82" spans="1:43" x14ac:dyDescent="0.25">
      <c r="A82" s="670"/>
      <c r="B82" s="671" t="s">
        <v>470</v>
      </c>
      <c r="C82" s="661"/>
      <c r="D82" s="662"/>
      <c r="E82" s="662"/>
      <c r="F82" s="662"/>
      <c r="G82" s="662"/>
      <c r="H82" s="662"/>
      <c r="I82" s="662"/>
      <c r="J82" s="662"/>
      <c r="K82" s="662"/>
      <c r="L82" s="662"/>
      <c r="M82" s="662"/>
      <c r="N82" s="663"/>
      <c r="O82" s="662"/>
      <c r="P82" s="662"/>
      <c r="Q82" s="662"/>
      <c r="R82" s="662"/>
      <c r="S82" s="662"/>
      <c r="T82" s="662"/>
      <c r="U82" s="662"/>
      <c r="V82" s="662"/>
      <c r="W82" s="662"/>
      <c r="X82" s="662"/>
      <c r="Y82" s="663"/>
      <c r="Z82" s="672"/>
      <c r="AA82" s="673"/>
      <c r="AB82" s="673"/>
      <c r="AC82" s="674"/>
      <c r="AD82" s="675"/>
      <c r="AE82" s="676"/>
      <c r="AF82" s="676"/>
      <c r="AG82" s="440"/>
      <c r="AH82" s="440"/>
      <c r="AI82" s="440"/>
      <c r="AJ82" s="652"/>
      <c r="AK82" s="677"/>
      <c r="AL82" s="675"/>
      <c r="AM82" s="675"/>
      <c r="AN82" s="676"/>
      <c r="AO82" s="676"/>
      <c r="AP82" s="440"/>
      <c r="AQ82" s="677"/>
    </row>
    <row r="83" spans="1:43" x14ac:dyDescent="0.25">
      <c r="A83" s="670"/>
      <c r="B83" s="671" t="s">
        <v>471</v>
      </c>
      <c r="C83" s="661"/>
      <c r="D83" s="662"/>
      <c r="E83" s="662"/>
      <c r="F83" s="662"/>
      <c r="G83" s="662"/>
      <c r="H83" s="662"/>
      <c r="I83" s="662"/>
      <c r="J83" s="662"/>
      <c r="K83" s="662"/>
      <c r="L83" s="662"/>
      <c r="M83" s="662"/>
      <c r="N83" s="663"/>
      <c r="O83" s="662"/>
      <c r="P83" s="662"/>
      <c r="Q83" s="662"/>
      <c r="R83" s="662"/>
      <c r="S83" s="662"/>
      <c r="T83" s="662"/>
      <c r="U83" s="662"/>
      <c r="V83" s="662"/>
      <c r="W83" s="662"/>
      <c r="X83" s="662"/>
      <c r="Y83" s="663"/>
      <c r="Z83" s="672"/>
      <c r="AA83" s="673"/>
      <c r="AB83" s="673"/>
      <c r="AC83" s="674"/>
      <c r="AD83" s="675"/>
      <c r="AE83" s="676"/>
      <c r="AF83" s="676"/>
      <c r="AG83" s="440"/>
      <c r="AH83" s="440"/>
      <c r="AI83" s="440"/>
      <c r="AJ83" s="652"/>
      <c r="AK83" s="677"/>
      <c r="AL83" s="675"/>
      <c r="AM83" s="675"/>
      <c r="AN83" s="676"/>
      <c r="AO83" s="676"/>
      <c r="AP83" s="440"/>
      <c r="AQ83" s="677"/>
    </row>
    <row r="84" spans="1:43" x14ac:dyDescent="0.25">
      <c r="A84" s="670"/>
      <c r="B84" s="671" t="s">
        <v>472</v>
      </c>
      <c r="C84" s="661"/>
      <c r="D84" s="662"/>
      <c r="E84" s="662"/>
      <c r="F84" s="662"/>
      <c r="G84" s="662"/>
      <c r="H84" s="662"/>
      <c r="I84" s="662"/>
      <c r="J84" s="662"/>
      <c r="K84" s="662"/>
      <c r="L84" s="662"/>
      <c r="M84" s="662"/>
      <c r="N84" s="663"/>
      <c r="O84" s="662"/>
      <c r="P84" s="662"/>
      <c r="Q84" s="662"/>
      <c r="R84" s="662"/>
      <c r="S84" s="662"/>
      <c r="T84" s="662"/>
      <c r="U84" s="662"/>
      <c r="V84" s="662"/>
      <c r="W84" s="662"/>
      <c r="X84" s="662"/>
      <c r="Y84" s="663"/>
      <c r="Z84" s="672"/>
      <c r="AA84" s="673"/>
      <c r="AB84" s="673"/>
      <c r="AC84" s="674"/>
      <c r="AD84" s="675"/>
      <c r="AE84" s="676"/>
      <c r="AF84" s="676"/>
      <c r="AG84" s="440"/>
      <c r="AH84" s="440"/>
      <c r="AI84" s="440"/>
      <c r="AJ84" s="652"/>
      <c r="AK84" s="677"/>
      <c r="AL84" s="675"/>
      <c r="AM84" s="675"/>
      <c r="AN84" s="676"/>
      <c r="AO84" s="676"/>
      <c r="AP84" s="440"/>
      <c r="AQ84" s="677"/>
    </row>
    <row r="85" spans="1:43" x14ac:dyDescent="0.25">
      <c r="A85" s="670"/>
      <c r="B85" s="671" t="s">
        <v>473</v>
      </c>
      <c r="C85" s="661"/>
      <c r="D85" s="662"/>
      <c r="E85" s="662"/>
      <c r="F85" s="662"/>
      <c r="G85" s="662"/>
      <c r="H85" s="662"/>
      <c r="I85" s="662"/>
      <c r="J85" s="662"/>
      <c r="K85" s="662"/>
      <c r="L85" s="662"/>
      <c r="M85" s="662"/>
      <c r="N85" s="663"/>
      <c r="O85" s="662"/>
      <c r="P85" s="662"/>
      <c r="Q85" s="662"/>
      <c r="R85" s="662"/>
      <c r="S85" s="662"/>
      <c r="T85" s="662"/>
      <c r="U85" s="662"/>
      <c r="V85" s="662"/>
      <c r="W85" s="662"/>
      <c r="X85" s="662"/>
      <c r="Y85" s="663"/>
      <c r="Z85" s="672"/>
      <c r="AA85" s="673"/>
      <c r="AB85" s="673"/>
      <c r="AC85" s="674"/>
      <c r="AD85" s="675"/>
      <c r="AE85" s="676"/>
      <c r="AF85" s="676"/>
      <c r="AG85" s="440"/>
      <c r="AH85" s="440"/>
      <c r="AI85" s="440"/>
      <c r="AJ85" s="652"/>
      <c r="AK85" s="677"/>
      <c r="AL85" s="675"/>
      <c r="AM85" s="675"/>
      <c r="AN85" s="676"/>
      <c r="AO85" s="676"/>
      <c r="AP85" s="440"/>
      <c r="AQ85" s="677"/>
    </row>
    <row r="86" spans="1:43" x14ac:dyDescent="0.25">
      <c r="A86" s="678"/>
      <c r="B86" s="679" t="s">
        <v>474</v>
      </c>
      <c r="C86" s="249"/>
      <c r="D86" s="250"/>
      <c r="E86" s="250"/>
      <c r="F86" s="250"/>
      <c r="G86" s="250"/>
      <c r="H86" s="250"/>
      <c r="I86" s="250"/>
      <c r="J86" s="250"/>
      <c r="K86" s="250"/>
      <c r="L86" s="250"/>
      <c r="M86" s="250"/>
      <c r="N86" s="251"/>
      <c r="O86" s="250"/>
      <c r="P86" s="250"/>
      <c r="Q86" s="250"/>
      <c r="R86" s="250"/>
      <c r="S86" s="250"/>
      <c r="T86" s="250"/>
      <c r="U86" s="250"/>
      <c r="V86" s="250"/>
      <c r="W86" s="250"/>
      <c r="X86" s="250"/>
      <c r="Y86" s="251"/>
      <c r="Z86" s="655"/>
      <c r="AA86" s="656"/>
      <c r="AB86" s="656"/>
      <c r="AC86" s="657"/>
      <c r="AD86" s="680"/>
      <c r="AE86" s="681"/>
      <c r="AF86" s="681"/>
      <c r="AG86" s="440"/>
      <c r="AH86" s="440"/>
      <c r="AI86" s="440"/>
      <c r="AJ86" s="652"/>
      <c r="AK86" s="658"/>
      <c r="AL86" s="680"/>
      <c r="AM86" s="680"/>
      <c r="AN86" s="681"/>
      <c r="AO86" s="681"/>
      <c r="AP86" s="440"/>
      <c r="AQ86" s="658"/>
    </row>
    <row r="87" spans="1:43" ht="156" x14ac:dyDescent="0.25">
      <c r="A87" s="211" t="s">
        <v>693</v>
      </c>
      <c r="B87" s="654" t="s">
        <v>437</v>
      </c>
      <c r="C87" s="252"/>
      <c r="D87" s="253"/>
      <c r="E87" s="253"/>
      <c r="F87" s="253"/>
      <c r="G87" s="253"/>
      <c r="H87" s="253"/>
      <c r="I87" s="253"/>
      <c r="J87" s="955"/>
      <c r="K87" s="955"/>
      <c r="L87" s="955"/>
      <c r="M87" s="955"/>
      <c r="N87" s="956"/>
      <c r="O87" s="955"/>
      <c r="P87" s="955"/>
      <c r="Q87" s="955"/>
      <c r="R87" s="955"/>
      <c r="S87" s="955"/>
      <c r="T87" s="955"/>
      <c r="U87" s="955"/>
      <c r="V87" s="955"/>
      <c r="W87" s="955"/>
      <c r="X87" s="955"/>
      <c r="Y87" s="956"/>
      <c r="Z87" s="478"/>
      <c r="AA87" s="479"/>
      <c r="AB87" s="479"/>
      <c r="AC87" s="480"/>
      <c r="AD87" s="442">
        <v>55</v>
      </c>
      <c r="AE87" s="224">
        <v>80</v>
      </c>
      <c r="AF87" s="224">
        <v>920</v>
      </c>
      <c r="AG87" s="440">
        <f>AD87*AF87</f>
        <v>50600</v>
      </c>
      <c r="AH87" s="440">
        <f>AE87*AF87</f>
        <v>73600</v>
      </c>
      <c r="AI87" s="440">
        <f t="shared" ref="AI87:AI88" si="4">AH87-AG87</f>
        <v>23000</v>
      </c>
      <c r="AJ87" s="652">
        <v>8073</v>
      </c>
      <c r="AK87" s="444"/>
      <c r="AL87" s="442"/>
      <c r="AM87" s="442"/>
      <c r="AN87" s="224"/>
      <c r="AO87" s="224"/>
      <c r="AP87" s="440">
        <f t="shared" si="1"/>
        <v>0</v>
      </c>
      <c r="AQ87" s="444"/>
    </row>
    <row r="88" spans="1:43" ht="36" x14ac:dyDescent="0.25">
      <c r="A88" s="659" t="s">
        <v>694</v>
      </c>
      <c r="B88" s="660" t="s">
        <v>438</v>
      </c>
      <c r="C88" s="683"/>
      <c r="D88" s="684"/>
      <c r="E88" s="684"/>
      <c r="F88" s="684"/>
      <c r="G88" s="684"/>
      <c r="H88" s="684"/>
      <c r="I88" s="684"/>
      <c r="J88" s="684"/>
      <c r="K88" s="684"/>
      <c r="L88" s="684"/>
      <c r="M88" s="684"/>
      <c r="N88" s="685"/>
      <c r="O88" s="684"/>
      <c r="P88" s="684"/>
      <c r="Q88" s="684"/>
      <c r="R88" s="953"/>
      <c r="S88" s="953"/>
      <c r="T88" s="953"/>
      <c r="U88" s="953"/>
      <c r="V88" s="684"/>
      <c r="W88" s="684"/>
      <c r="X88" s="684"/>
      <c r="Y88" s="685"/>
      <c r="Z88" s="686"/>
      <c r="AA88" s="687"/>
      <c r="AB88" s="687"/>
      <c r="AC88" s="688"/>
      <c r="AD88" s="667">
        <v>320</v>
      </c>
      <c r="AE88" s="668">
        <v>415</v>
      </c>
      <c r="AF88" s="668">
        <v>920</v>
      </c>
      <c r="AG88" s="440">
        <f>AD88*AF88</f>
        <v>294400</v>
      </c>
      <c r="AH88" s="440">
        <f>AE88*AF88</f>
        <v>381800</v>
      </c>
      <c r="AI88" s="440">
        <f t="shared" si="4"/>
        <v>87400</v>
      </c>
      <c r="AJ88" s="652">
        <v>43953</v>
      </c>
      <c r="AK88" s="689"/>
      <c r="AL88" s="667"/>
      <c r="AM88" s="667"/>
      <c r="AN88" s="668"/>
      <c r="AO88" s="668"/>
      <c r="AP88" s="440">
        <f t="shared" si="1"/>
        <v>0</v>
      </c>
      <c r="AQ88" s="689"/>
    </row>
    <row r="89" spans="1:43" ht="24" x14ac:dyDescent="0.25">
      <c r="A89" s="670"/>
      <c r="B89" s="671" t="s">
        <v>464</v>
      </c>
      <c r="C89" s="661"/>
      <c r="D89" s="662"/>
      <c r="E89" s="662"/>
      <c r="F89" s="662"/>
      <c r="G89" s="662"/>
      <c r="H89" s="662"/>
      <c r="I89" s="662"/>
      <c r="J89" s="662"/>
      <c r="K89" s="662"/>
      <c r="L89" s="662"/>
      <c r="M89" s="662"/>
      <c r="N89" s="663"/>
      <c r="O89" s="662"/>
      <c r="P89" s="662"/>
      <c r="Q89" s="662"/>
      <c r="R89" s="662"/>
      <c r="S89" s="662"/>
      <c r="T89" s="662"/>
      <c r="U89" s="662"/>
      <c r="V89" s="662"/>
      <c r="W89" s="662"/>
      <c r="X89" s="662"/>
      <c r="Y89" s="663"/>
      <c r="Z89" s="672"/>
      <c r="AA89" s="673"/>
      <c r="AB89" s="673"/>
      <c r="AC89" s="674"/>
      <c r="AD89" s="675"/>
      <c r="AE89" s="676"/>
      <c r="AF89" s="676"/>
      <c r="AG89" s="440"/>
      <c r="AH89" s="440"/>
      <c r="AI89" s="440"/>
      <c r="AJ89" s="652"/>
      <c r="AK89" s="677"/>
      <c r="AL89" s="675"/>
      <c r="AM89" s="675"/>
      <c r="AN89" s="676"/>
      <c r="AO89" s="676"/>
      <c r="AP89" s="440"/>
      <c r="AQ89" s="677"/>
    </row>
    <row r="90" spans="1:43" x14ac:dyDescent="0.25">
      <c r="A90" s="670"/>
      <c r="B90" s="671" t="s">
        <v>439</v>
      </c>
      <c r="C90" s="661"/>
      <c r="D90" s="662"/>
      <c r="E90" s="662"/>
      <c r="F90" s="662"/>
      <c r="G90" s="662"/>
      <c r="H90" s="662"/>
      <c r="I90" s="662"/>
      <c r="J90" s="662"/>
      <c r="K90" s="662"/>
      <c r="L90" s="662"/>
      <c r="M90" s="662"/>
      <c r="N90" s="663"/>
      <c r="O90" s="662"/>
      <c r="P90" s="662"/>
      <c r="Q90" s="662"/>
      <c r="R90" s="662"/>
      <c r="S90" s="662"/>
      <c r="T90" s="662"/>
      <c r="U90" s="662"/>
      <c r="V90" s="662"/>
      <c r="W90" s="662"/>
      <c r="X90" s="662"/>
      <c r="Y90" s="663"/>
      <c r="Z90" s="672"/>
      <c r="AA90" s="673"/>
      <c r="AB90" s="673"/>
      <c r="AC90" s="674"/>
      <c r="AD90" s="675"/>
      <c r="AE90" s="676"/>
      <c r="AF90" s="676"/>
      <c r="AG90" s="440"/>
      <c r="AH90" s="440"/>
      <c r="AI90" s="440"/>
      <c r="AJ90" s="652"/>
      <c r="AK90" s="677"/>
      <c r="AL90" s="675"/>
      <c r="AM90" s="675"/>
      <c r="AN90" s="676"/>
      <c r="AO90" s="676"/>
      <c r="AP90" s="440"/>
      <c r="AQ90" s="677"/>
    </row>
    <row r="91" spans="1:43" x14ac:dyDescent="0.25">
      <c r="A91" s="670"/>
      <c r="B91" s="671" t="s">
        <v>440</v>
      </c>
      <c r="C91" s="661"/>
      <c r="D91" s="662"/>
      <c r="E91" s="662"/>
      <c r="F91" s="662"/>
      <c r="G91" s="662"/>
      <c r="H91" s="662"/>
      <c r="I91" s="662"/>
      <c r="J91" s="662"/>
      <c r="K91" s="662"/>
      <c r="L91" s="662"/>
      <c r="M91" s="662"/>
      <c r="N91" s="663"/>
      <c r="O91" s="662"/>
      <c r="P91" s="662"/>
      <c r="Q91" s="662"/>
      <c r="R91" s="662"/>
      <c r="S91" s="662"/>
      <c r="T91" s="662"/>
      <c r="U91" s="662"/>
      <c r="V91" s="662"/>
      <c r="W91" s="662"/>
      <c r="X91" s="662"/>
      <c r="Y91" s="663"/>
      <c r="Z91" s="672"/>
      <c r="AA91" s="673"/>
      <c r="AB91" s="673"/>
      <c r="AC91" s="674"/>
      <c r="AD91" s="675"/>
      <c r="AE91" s="676"/>
      <c r="AF91" s="676"/>
      <c r="AG91" s="440"/>
      <c r="AH91" s="440"/>
      <c r="AI91" s="440"/>
      <c r="AJ91" s="652"/>
      <c r="AK91" s="677"/>
      <c r="AL91" s="675"/>
      <c r="AM91" s="675"/>
      <c r="AN91" s="676"/>
      <c r="AO91" s="676"/>
      <c r="AP91" s="440"/>
      <c r="AQ91" s="677"/>
    </row>
    <row r="92" spans="1:43" x14ac:dyDescent="0.25">
      <c r="A92" s="670"/>
      <c r="B92" s="671" t="s">
        <v>441</v>
      </c>
      <c r="C92" s="661"/>
      <c r="D92" s="662"/>
      <c r="E92" s="662"/>
      <c r="F92" s="662"/>
      <c r="G92" s="662"/>
      <c r="H92" s="662"/>
      <c r="I92" s="662"/>
      <c r="J92" s="662"/>
      <c r="K92" s="662"/>
      <c r="L92" s="662"/>
      <c r="M92" s="662"/>
      <c r="N92" s="663"/>
      <c r="O92" s="662"/>
      <c r="P92" s="662"/>
      <c r="Q92" s="662"/>
      <c r="R92" s="662"/>
      <c r="S92" s="662"/>
      <c r="T92" s="662"/>
      <c r="U92" s="662"/>
      <c r="V92" s="662"/>
      <c r="W92" s="662"/>
      <c r="X92" s="662"/>
      <c r="Y92" s="663"/>
      <c r="Z92" s="672"/>
      <c r="AA92" s="673"/>
      <c r="AB92" s="673"/>
      <c r="AC92" s="674"/>
      <c r="AD92" s="675"/>
      <c r="AE92" s="676"/>
      <c r="AF92" s="676"/>
      <c r="AG92" s="440"/>
      <c r="AH92" s="440"/>
      <c r="AI92" s="440"/>
      <c r="AJ92" s="652"/>
      <c r="AK92" s="677"/>
      <c r="AL92" s="675"/>
      <c r="AM92" s="675"/>
      <c r="AN92" s="676"/>
      <c r="AO92" s="676"/>
      <c r="AP92" s="440"/>
      <c r="AQ92" s="677"/>
    </row>
    <row r="93" spans="1:43" x14ac:dyDescent="0.25">
      <c r="A93" s="670"/>
      <c r="B93" s="671" t="s">
        <v>442</v>
      </c>
      <c r="C93" s="661"/>
      <c r="D93" s="662"/>
      <c r="E93" s="662"/>
      <c r="F93" s="662"/>
      <c r="G93" s="662"/>
      <c r="H93" s="662"/>
      <c r="I93" s="662"/>
      <c r="J93" s="662"/>
      <c r="K93" s="662"/>
      <c r="L93" s="662"/>
      <c r="M93" s="662"/>
      <c r="N93" s="663"/>
      <c r="O93" s="662"/>
      <c r="P93" s="662"/>
      <c r="Q93" s="662"/>
      <c r="R93" s="662"/>
      <c r="S93" s="662"/>
      <c r="T93" s="662"/>
      <c r="U93" s="662"/>
      <c r="V93" s="662"/>
      <c r="W93" s="662"/>
      <c r="X93" s="662"/>
      <c r="Y93" s="663"/>
      <c r="Z93" s="672"/>
      <c r="AA93" s="673"/>
      <c r="AB93" s="673"/>
      <c r="AC93" s="674"/>
      <c r="AD93" s="675"/>
      <c r="AE93" s="676"/>
      <c r="AF93" s="676"/>
      <c r="AG93" s="440"/>
      <c r="AH93" s="440"/>
      <c r="AI93" s="440"/>
      <c r="AJ93" s="652"/>
      <c r="AK93" s="677"/>
      <c r="AL93" s="675"/>
      <c r="AM93" s="675"/>
      <c r="AN93" s="676"/>
      <c r="AO93" s="676"/>
      <c r="AP93" s="440"/>
      <c r="AQ93" s="677"/>
    </row>
    <row r="94" spans="1:43" ht="60" x14ac:dyDescent="0.25">
      <c r="A94" s="670"/>
      <c r="B94" s="671" t="s">
        <v>443</v>
      </c>
      <c r="C94" s="661"/>
      <c r="D94" s="662"/>
      <c r="E94" s="662"/>
      <c r="F94" s="662"/>
      <c r="G94" s="662"/>
      <c r="H94" s="662"/>
      <c r="I94" s="662"/>
      <c r="J94" s="662"/>
      <c r="K94" s="662"/>
      <c r="L94" s="662"/>
      <c r="M94" s="662"/>
      <c r="N94" s="663"/>
      <c r="O94" s="662"/>
      <c r="P94" s="662"/>
      <c r="Q94" s="662"/>
      <c r="R94" s="662"/>
      <c r="S94" s="662"/>
      <c r="T94" s="662"/>
      <c r="U94" s="662"/>
      <c r="V94" s="662"/>
      <c r="W94" s="662"/>
      <c r="X94" s="662"/>
      <c r="Y94" s="663"/>
      <c r="Z94" s="672"/>
      <c r="AA94" s="673"/>
      <c r="AB94" s="673"/>
      <c r="AC94" s="674"/>
      <c r="AD94" s="675"/>
      <c r="AE94" s="676"/>
      <c r="AF94" s="676"/>
      <c r="AG94" s="440"/>
      <c r="AH94" s="440"/>
      <c r="AI94" s="440"/>
      <c r="AJ94" s="652"/>
      <c r="AK94" s="677"/>
      <c r="AL94" s="675"/>
      <c r="AM94" s="675"/>
      <c r="AN94" s="676"/>
      <c r="AO94" s="676"/>
      <c r="AP94" s="440"/>
      <c r="AQ94" s="677"/>
    </row>
    <row r="95" spans="1:43" x14ac:dyDescent="0.25">
      <c r="A95" s="670"/>
      <c r="B95" s="671" t="s">
        <v>444</v>
      </c>
      <c r="C95" s="661"/>
      <c r="D95" s="662"/>
      <c r="E95" s="662"/>
      <c r="F95" s="662"/>
      <c r="G95" s="662"/>
      <c r="H95" s="662"/>
      <c r="I95" s="662"/>
      <c r="J95" s="662"/>
      <c r="K95" s="662"/>
      <c r="L95" s="662"/>
      <c r="M95" s="662"/>
      <c r="N95" s="663"/>
      <c r="O95" s="662"/>
      <c r="P95" s="662"/>
      <c r="Q95" s="662"/>
      <c r="R95" s="662"/>
      <c r="S95" s="662"/>
      <c r="T95" s="662"/>
      <c r="U95" s="662"/>
      <c r="V95" s="662"/>
      <c r="W95" s="662"/>
      <c r="X95" s="662"/>
      <c r="Y95" s="663"/>
      <c r="Z95" s="672"/>
      <c r="AA95" s="673"/>
      <c r="AB95" s="673"/>
      <c r="AC95" s="674"/>
      <c r="AD95" s="675"/>
      <c r="AE95" s="676"/>
      <c r="AF95" s="676"/>
      <c r="AG95" s="440"/>
      <c r="AH95" s="440"/>
      <c r="AI95" s="440"/>
      <c r="AJ95" s="652"/>
      <c r="AK95" s="677"/>
      <c r="AL95" s="675"/>
      <c r="AM95" s="675"/>
      <c r="AN95" s="676"/>
      <c r="AO95" s="676"/>
      <c r="AP95" s="440"/>
      <c r="AQ95" s="677"/>
    </row>
    <row r="96" spans="1:43" ht="36" x14ac:dyDescent="0.25">
      <c r="A96" s="670"/>
      <c r="B96" s="671" t="s">
        <v>445</v>
      </c>
      <c r="C96" s="661"/>
      <c r="D96" s="662"/>
      <c r="E96" s="662"/>
      <c r="F96" s="662"/>
      <c r="G96" s="662"/>
      <c r="H96" s="662"/>
      <c r="I96" s="662"/>
      <c r="J96" s="662"/>
      <c r="K96" s="662"/>
      <c r="L96" s="662"/>
      <c r="M96" s="662"/>
      <c r="N96" s="663"/>
      <c r="O96" s="662"/>
      <c r="P96" s="662"/>
      <c r="Q96" s="662"/>
      <c r="R96" s="662"/>
      <c r="S96" s="662"/>
      <c r="T96" s="662"/>
      <c r="U96" s="662"/>
      <c r="V96" s="662"/>
      <c r="W96" s="662"/>
      <c r="X96" s="662"/>
      <c r="Y96" s="663"/>
      <c r="Z96" s="672"/>
      <c r="AA96" s="673"/>
      <c r="AB96" s="673"/>
      <c r="AC96" s="674"/>
      <c r="AD96" s="675"/>
      <c r="AE96" s="676"/>
      <c r="AF96" s="676"/>
      <c r="AG96" s="440"/>
      <c r="AH96" s="440"/>
      <c r="AI96" s="440"/>
      <c r="AJ96" s="652"/>
      <c r="AK96" s="677"/>
      <c r="AL96" s="675"/>
      <c r="AM96" s="675"/>
      <c r="AN96" s="676"/>
      <c r="AO96" s="676"/>
      <c r="AP96" s="440"/>
      <c r="AQ96" s="677"/>
    </row>
    <row r="97" spans="1:43" x14ac:dyDescent="0.25">
      <c r="A97" s="670"/>
      <c r="B97" s="671" t="s">
        <v>446</v>
      </c>
      <c r="C97" s="661"/>
      <c r="D97" s="662"/>
      <c r="E97" s="662"/>
      <c r="F97" s="662"/>
      <c r="G97" s="662"/>
      <c r="H97" s="662"/>
      <c r="I97" s="662"/>
      <c r="J97" s="662"/>
      <c r="K97" s="662"/>
      <c r="L97" s="662"/>
      <c r="M97" s="662"/>
      <c r="N97" s="663"/>
      <c r="O97" s="662"/>
      <c r="P97" s="662"/>
      <c r="Q97" s="662"/>
      <c r="R97" s="662"/>
      <c r="S97" s="662"/>
      <c r="T97" s="662"/>
      <c r="U97" s="662"/>
      <c r="V97" s="662"/>
      <c r="W97" s="662"/>
      <c r="X97" s="662"/>
      <c r="Y97" s="663"/>
      <c r="Z97" s="672"/>
      <c r="AA97" s="673"/>
      <c r="AB97" s="673"/>
      <c r="AC97" s="674"/>
      <c r="AD97" s="675"/>
      <c r="AE97" s="676"/>
      <c r="AF97" s="676"/>
      <c r="AG97" s="440"/>
      <c r="AH97" s="440"/>
      <c r="AI97" s="440"/>
      <c r="AJ97" s="652"/>
      <c r="AK97" s="677"/>
      <c r="AL97" s="675"/>
      <c r="AM97" s="675"/>
      <c r="AN97" s="676"/>
      <c r="AO97" s="676"/>
      <c r="AP97" s="440"/>
      <c r="AQ97" s="677"/>
    </row>
    <row r="98" spans="1:43" ht="48" x14ac:dyDescent="0.25">
      <c r="A98" s="670"/>
      <c r="B98" s="671" t="s">
        <v>447</v>
      </c>
      <c r="C98" s="661"/>
      <c r="D98" s="662"/>
      <c r="E98" s="662"/>
      <c r="F98" s="662"/>
      <c r="G98" s="662"/>
      <c r="H98" s="662"/>
      <c r="I98" s="662"/>
      <c r="J98" s="662"/>
      <c r="K98" s="662"/>
      <c r="L98" s="662"/>
      <c r="M98" s="662"/>
      <c r="N98" s="663"/>
      <c r="O98" s="662"/>
      <c r="P98" s="662"/>
      <c r="Q98" s="662"/>
      <c r="R98" s="662"/>
      <c r="S98" s="662"/>
      <c r="T98" s="662"/>
      <c r="U98" s="662"/>
      <c r="V98" s="662"/>
      <c r="W98" s="662"/>
      <c r="X98" s="662"/>
      <c r="Y98" s="663"/>
      <c r="Z98" s="672"/>
      <c r="AA98" s="673"/>
      <c r="AB98" s="673"/>
      <c r="AC98" s="674"/>
      <c r="AD98" s="675"/>
      <c r="AE98" s="676"/>
      <c r="AF98" s="676"/>
      <c r="AG98" s="440"/>
      <c r="AH98" s="440"/>
      <c r="AI98" s="440"/>
      <c r="AJ98" s="652"/>
      <c r="AK98" s="677"/>
      <c r="AL98" s="675"/>
      <c r="AM98" s="675"/>
      <c r="AN98" s="676"/>
      <c r="AO98" s="676"/>
      <c r="AP98" s="440"/>
      <c r="AQ98" s="677"/>
    </row>
    <row r="99" spans="1:43" x14ac:dyDescent="0.25">
      <c r="A99" s="670"/>
      <c r="B99" s="671" t="s">
        <v>448</v>
      </c>
      <c r="C99" s="661"/>
      <c r="D99" s="662"/>
      <c r="E99" s="662"/>
      <c r="F99" s="662"/>
      <c r="G99" s="662"/>
      <c r="H99" s="662"/>
      <c r="I99" s="662"/>
      <c r="J99" s="662"/>
      <c r="K99" s="662"/>
      <c r="L99" s="662"/>
      <c r="M99" s="662"/>
      <c r="N99" s="663"/>
      <c r="O99" s="662"/>
      <c r="P99" s="662"/>
      <c r="Q99" s="662"/>
      <c r="R99" s="662"/>
      <c r="S99" s="662"/>
      <c r="T99" s="662"/>
      <c r="U99" s="662"/>
      <c r="V99" s="662"/>
      <c r="W99" s="662"/>
      <c r="X99" s="662"/>
      <c r="Y99" s="663"/>
      <c r="Z99" s="672"/>
      <c r="AA99" s="673"/>
      <c r="AB99" s="673"/>
      <c r="AC99" s="674"/>
      <c r="AD99" s="675"/>
      <c r="AE99" s="676"/>
      <c r="AF99" s="676"/>
      <c r="AG99" s="440"/>
      <c r="AH99" s="440"/>
      <c r="AI99" s="440"/>
      <c r="AJ99" s="652"/>
      <c r="AK99" s="677"/>
      <c r="AL99" s="675"/>
      <c r="AM99" s="675"/>
      <c r="AN99" s="676"/>
      <c r="AO99" s="676"/>
      <c r="AP99" s="440"/>
      <c r="AQ99" s="677"/>
    </row>
    <row r="100" spans="1:43" x14ac:dyDescent="0.25">
      <c r="A100" s="670"/>
      <c r="B100" s="671" t="s">
        <v>449</v>
      </c>
      <c r="C100" s="661"/>
      <c r="D100" s="662"/>
      <c r="E100" s="662"/>
      <c r="F100" s="662"/>
      <c r="G100" s="662"/>
      <c r="H100" s="662"/>
      <c r="I100" s="662"/>
      <c r="J100" s="662"/>
      <c r="K100" s="662"/>
      <c r="L100" s="662"/>
      <c r="M100" s="662"/>
      <c r="N100" s="663"/>
      <c r="O100" s="662"/>
      <c r="P100" s="662"/>
      <c r="Q100" s="662"/>
      <c r="R100" s="662"/>
      <c r="S100" s="662"/>
      <c r="T100" s="662"/>
      <c r="U100" s="662"/>
      <c r="V100" s="662"/>
      <c r="W100" s="662"/>
      <c r="X100" s="662"/>
      <c r="Y100" s="663"/>
      <c r="Z100" s="672"/>
      <c r="AA100" s="673"/>
      <c r="AB100" s="673"/>
      <c r="AC100" s="674"/>
      <c r="AD100" s="675"/>
      <c r="AE100" s="676"/>
      <c r="AF100" s="676"/>
      <c r="AG100" s="440"/>
      <c r="AH100" s="440"/>
      <c r="AI100" s="440"/>
      <c r="AJ100" s="652"/>
      <c r="AK100" s="677"/>
      <c r="AL100" s="675"/>
      <c r="AM100" s="675"/>
      <c r="AN100" s="676"/>
      <c r="AO100" s="676"/>
      <c r="AP100" s="440"/>
      <c r="AQ100" s="677"/>
    </row>
    <row r="101" spans="1:43" x14ac:dyDescent="0.25">
      <c r="A101" s="670"/>
      <c r="B101" s="671" t="s">
        <v>450</v>
      </c>
      <c r="C101" s="661"/>
      <c r="D101" s="662"/>
      <c r="E101" s="662"/>
      <c r="F101" s="662"/>
      <c r="G101" s="662"/>
      <c r="H101" s="662"/>
      <c r="I101" s="662"/>
      <c r="J101" s="662"/>
      <c r="K101" s="662"/>
      <c r="L101" s="662"/>
      <c r="M101" s="662"/>
      <c r="N101" s="663"/>
      <c r="O101" s="662"/>
      <c r="P101" s="662"/>
      <c r="Q101" s="662"/>
      <c r="R101" s="662"/>
      <c r="S101" s="662"/>
      <c r="T101" s="662"/>
      <c r="U101" s="662"/>
      <c r="V101" s="662"/>
      <c r="W101" s="662"/>
      <c r="X101" s="662"/>
      <c r="Y101" s="663"/>
      <c r="Z101" s="672"/>
      <c r="AA101" s="673"/>
      <c r="AB101" s="673"/>
      <c r="AC101" s="674"/>
      <c r="AD101" s="675"/>
      <c r="AE101" s="676"/>
      <c r="AF101" s="676"/>
      <c r="AG101" s="440"/>
      <c r="AH101" s="440"/>
      <c r="AI101" s="440"/>
      <c r="AJ101" s="652"/>
      <c r="AK101" s="677"/>
      <c r="AL101" s="675"/>
      <c r="AM101" s="675"/>
      <c r="AN101" s="676"/>
      <c r="AO101" s="676"/>
      <c r="AP101" s="440"/>
      <c r="AQ101" s="677"/>
    </row>
    <row r="102" spans="1:43" x14ac:dyDescent="0.25">
      <c r="A102" s="670"/>
      <c r="B102" s="671" t="s">
        <v>451</v>
      </c>
      <c r="C102" s="661"/>
      <c r="D102" s="662"/>
      <c r="E102" s="662"/>
      <c r="F102" s="662"/>
      <c r="G102" s="662"/>
      <c r="H102" s="662"/>
      <c r="I102" s="662"/>
      <c r="J102" s="662"/>
      <c r="K102" s="662"/>
      <c r="L102" s="662"/>
      <c r="M102" s="662"/>
      <c r="N102" s="663"/>
      <c r="O102" s="662"/>
      <c r="P102" s="662"/>
      <c r="Q102" s="662"/>
      <c r="R102" s="662"/>
      <c r="S102" s="662"/>
      <c r="T102" s="662"/>
      <c r="U102" s="662"/>
      <c r="V102" s="662"/>
      <c r="W102" s="662"/>
      <c r="X102" s="662"/>
      <c r="Y102" s="663"/>
      <c r="Z102" s="672"/>
      <c r="AA102" s="673"/>
      <c r="AB102" s="673"/>
      <c r="AC102" s="674"/>
      <c r="AD102" s="675"/>
      <c r="AE102" s="676"/>
      <c r="AF102" s="676"/>
      <c r="AG102" s="440"/>
      <c r="AH102" s="440"/>
      <c r="AI102" s="440"/>
      <c r="AJ102" s="652"/>
      <c r="AK102" s="677"/>
      <c r="AL102" s="675"/>
      <c r="AM102" s="675"/>
      <c r="AN102" s="676"/>
      <c r="AO102" s="676"/>
      <c r="AP102" s="440"/>
      <c r="AQ102" s="677"/>
    </row>
    <row r="103" spans="1:43" x14ac:dyDescent="0.25">
      <c r="A103" s="670"/>
      <c r="B103" s="671" t="s">
        <v>452</v>
      </c>
      <c r="C103" s="661"/>
      <c r="D103" s="662"/>
      <c r="E103" s="662"/>
      <c r="F103" s="662"/>
      <c r="G103" s="662"/>
      <c r="H103" s="662"/>
      <c r="I103" s="662"/>
      <c r="J103" s="662"/>
      <c r="K103" s="662"/>
      <c r="L103" s="662"/>
      <c r="M103" s="662"/>
      <c r="N103" s="663"/>
      <c r="O103" s="662"/>
      <c r="P103" s="662"/>
      <c r="Q103" s="662"/>
      <c r="R103" s="662"/>
      <c r="S103" s="662"/>
      <c r="T103" s="662"/>
      <c r="U103" s="662"/>
      <c r="V103" s="662"/>
      <c r="W103" s="662"/>
      <c r="X103" s="662"/>
      <c r="Y103" s="663"/>
      <c r="Z103" s="672"/>
      <c r="AA103" s="673"/>
      <c r="AB103" s="673"/>
      <c r="AC103" s="674"/>
      <c r="AD103" s="675"/>
      <c r="AE103" s="676"/>
      <c r="AF103" s="676"/>
      <c r="AG103" s="440"/>
      <c r="AH103" s="440"/>
      <c r="AI103" s="440"/>
      <c r="AJ103" s="652"/>
      <c r="AK103" s="677"/>
      <c r="AL103" s="675"/>
      <c r="AM103" s="675"/>
      <c r="AN103" s="676"/>
      <c r="AO103" s="676"/>
      <c r="AP103" s="440"/>
      <c r="AQ103" s="677"/>
    </row>
    <row r="104" spans="1:43" x14ac:dyDescent="0.25">
      <c r="A104" s="670"/>
      <c r="B104" s="671" t="s">
        <v>453</v>
      </c>
      <c r="C104" s="661"/>
      <c r="D104" s="662"/>
      <c r="E104" s="662"/>
      <c r="F104" s="662"/>
      <c r="G104" s="662"/>
      <c r="H104" s="662"/>
      <c r="I104" s="662"/>
      <c r="J104" s="662"/>
      <c r="K104" s="662"/>
      <c r="L104" s="662"/>
      <c r="M104" s="662"/>
      <c r="N104" s="663"/>
      <c r="O104" s="662"/>
      <c r="P104" s="662"/>
      <c r="Q104" s="662"/>
      <c r="R104" s="662"/>
      <c r="S104" s="662"/>
      <c r="T104" s="662"/>
      <c r="U104" s="662"/>
      <c r="V104" s="662"/>
      <c r="W104" s="662"/>
      <c r="X104" s="662"/>
      <c r="Y104" s="663"/>
      <c r="Z104" s="672"/>
      <c r="AA104" s="673"/>
      <c r="AB104" s="673"/>
      <c r="AC104" s="674"/>
      <c r="AD104" s="675"/>
      <c r="AE104" s="676"/>
      <c r="AF104" s="676"/>
      <c r="AG104" s="440"/>
      <c r="AH104" s="440"/>
      <c r="AI104" s="440"/>
      <c r="AJ104" s="652"/>
      <c r="AK104" s="677"/>
      <c r="AL104" s="675"/>
      <c r="AM104" s="675"/>
      <c r="AN104" s="676"/>
      <c r="AO104" s="676"/>
      <c r="AP104" s="440"/>
      <c r="AQ104" s="677"/>
    </row>
    <row r="105" spans="1:43" ht="24" x14ac:dyDescent="0.25">
      <c r="A105" s="670"/>
      <c r="B105" s="671" t="s">
        <v>454</v>
      </c>
      <c r="C105" s="661"/>
      <c r="D105" s="662"/>
      <c r="E105" s="662"/>
      <c r="F105" s="662"/>
      <c r="G105" s="662"/>
      <c r="H105" s="662"/>
      <c r="I105" s="662"/>
      <c r="J105" s="662"/>
      <c r="K105" s="662"/>
      <c r="L105" s="662"/>
      <c r="M105" s="662"/>
      <c r="N105" s="663"/>
      <c r="O105" s="662"/>
      <c r="P105" s="662"/>
      <c r="Q105" s="662"/>
      <c r="R105" s="662"/>
      <c r="S105" s="662"/>
      <c r="T105" s="662"/>
      <c r="U105" s="662"/>
      <c r="V105" s="662"/>
      <c r="W105" s="662"/>
      <c r="X105" s="662"/>
      <c r="Y105" s="663"/>
      <c r="Z105" s="672"/>
      <c r="AA105" s="673"/>
      <c r="AB105" s="673"/>
      <c r="AC105" s="674"/>
      <c r="AD105" s="675"/>
      <c r="AE105" s="676"/>
      <c r="AF105" s="676"/>
      <c r="AG105" s="440"/>
      <c r="AH105" s="440"/>
      <c r="AI105" s="440"/>
      <c r="AJ105" s="652"/>
      <c r="AK105" s="677"/>
      <c r="AL105" s="675"/>
      <c r="AM105" s="675"/>
      <c r="AN105" s="676"/>
      <c r="AO105" s="676"/>
      <c r="AP105" s="440"/>
      <c r="AQ105" s="677"/>
    </row>
    <row r="106" spans="1:43" ht="24" x14ac:dyDescent="0.25">
      <c r="A106" s="670"/>
      <c r="B106" s="671" t="s">
        <v>455</v>
      </c>
      <c r="C106" s="661"/>
      <c r="D106" s="662"/>
      <c r="E106" s="662"/>
      <c r="F106" s="662"/>
      <c r="G106" s="662"/>
      <c r="H106" s="662"/>
      <c r="I106" s="662"/>
      <c r="J106" s="662"/>
      <c r="K106" s="662"/>
      <c r="L106" s="662"/>
      <c r="M106" s="662"/>
      <c r="N106" s="663"/>
      <c r="O106" s="662"/>
      <c r="P106" s="662"/>
      <c r="Q106" s="662"/>
      <c r="R106" s="662"/>
      <c r="S106" s="662"/>
      <c r="T106" s="662"/>
      <c r="U106" s="662"/>
      <c r="V106" s="662"/>
      <c r="W106" s="662"/>
      <c r="X106" s="662"/>
      <c r="Y106" s="663"/>
      <c r="Z106" s="672"/>
      <c r="AA106" s="673"/>
      <c r="AB106" s="673"/>
      <c r="AC106" s="674"/>
      <c r="AD106" s="675"/>
      <c r="AE106" s="676"/>
      <c r="AF106" s="676"/>
      <c r="AG106" s="440"/>
      <c r="AH106" s="440"/>
      <c r="AI106" s="440"/>
      <c r="AJ106" s="652"/>
      <c r="AK106" s="677"/>
      <c r="AL106" s="675"/>
      <c r="AM106" s="675"/>
      <c r="AN106" s="676"/>
      <c r="AO106" s="676"/>
      <c r="AP106" s="440"/>
      <c r="AQ106" s="677"/>
    </row>
    <row r="107" spans="1:43" x14ac:dyDescent="0.25">
      <c r="A107" s="670"/>
      <c r="B107" s="671" t="s">
        <v>456</v>
      </c>
      <c r="C107" s="661"/>
      <c r="D107" s="662"/>
      <c r="E107" s="662"/>
      <c r="F107" s="662"/>
      <c r="G107" s="662"/>
      <c r="H107" s="662"/>
      <c r="I107" s="662"/>
      <c r="J107" s="662"/>
      <c r="K107" s="662"/>
      <c r="L107" s="662"/>
      <c r="M107" s="662"/>
      <c r="N107" s="663"/>
      <c r="O107" s="662"/>
      <c r="P107" s="662"/>
      <c r="Q107" s="662"/>
      <c r="R107" s="662"/>
      <c r="S107" s="662"/>
      <c r="T107" s="662"/>
      <c r="U107" s="662"/>
      <c r="V107" s="662"/>
      <c r="W107" s="662"/>
      <c r="X107" s="662"/>
      <c r="Y107" s="663"/>
      <c r="Z107" s="672"/>
      <c r="AA107" s="673"/>
      <c r="AB107" s="673"/>
      <c r="AC107" s="674"/>
      <c r="AD107" s="675"/>
      <c r="AE107" s="676"/>
      <c r="AF107" s="676"/>
      <c r="AG107" s="440"/>
      <c r="AH107" s="440"/>
      <c r="AI107" s="440"/>
      <c r="AJ107" s="652"/>
      <c r="AK107" s="677"/>
      <c r="AL107" s="675"/>
      <c r="AM107" s="675"/>
      <c r="AN107" s="676"/>
      <c r="AO107" s="676"/>
      <c r="AP107" s="440"/>
      <c r="AQ107" s="677"/>
    </row>
    <row r="108" spans="1:43" x14ac:dyDescent="0.25">
      <c r="A108" s="670"/>
      <c r="B108" s="671" t="s">
        <v>457</v>
      </c>
      <c r="C108" s="661"/>
      <c r="D108" s="662"/>
      <c r="E108" s="662"/>
      <c r="F108" s="662"/>
      <c r="G108" s="662"/>
      <c r="H108" s="662"/>
      <c r="I108" s="662"/>
      <c r="J108" s="662"/>
      <c r="K108" s="662"/>
      <c r="L108" s="662"/>
      <c r="M108" s="662"/>
      <c r="N108" s="663"/>
      <c r="O108" s="662"/>
      <c r="P108" s="662"/>
      <c r="Q108" s="662"/>
      <c r="R108" s="662"/>
      <c r="S108" s="662"/>
      <c r="T108" s="662"/>
      <c r="U108" s="662"/>
      <c r="V108" s="662"/>
      <c r="W108" s="662"/>
      <c r="X108" s="662"/>
      <c r="Y108" s="663"/>
      <c r="Z108" s="672"/>
      <c r="AA108" s="673"/>
      <c r="AB108" s="673"/>
      <c r="AC108" s="674"/>
      <c r="AD108" s="675"/>
      <c r="AE108" s="676"/>
      <c r="AF108" s="676"/>
      <c r="AG108" s="440"/>
      <c r="AH108" s="440"/>
      <c r="AI108" s="440"/>
      <c r="AJ108" s="652"/>
      <c r="AK108" s="677"/>
      <c r="AL108" s="675"/>
      <c r="AM108" s="675"/>
      <c r="AN108" s="676"/>
      <c r="AO108" s="676"/>
      <c r="AP108" s="440"/>
      <c r="AQ108" s="677"/>
    </row>
    <row r="109" spans="1:43" x14ac:dyDescent="0.25">
      <c r="A109" s="670"/>
      <c r="B109" s="671" t="s">
        <v>458</v>
      </c>
      <c r="C109" s="661"/>
      <c r="D109" s="662"/>
      <c r="E109" s="662"/>
      <c r="F109" s="662"/>
      <c r="G109" s="662"/>
      <c r="H109" s="662"/>
      <c r="I109" s="662"/>
      <c r="J109" s="662"/>
      <c r="K109" s="662"/>
      <c r="L109" s="662"/>
      <c r="M109" s="662"/>
      <c r="N109" s="663"/>
      <c r="O109" s="662"/>
      <c r="P109" s="662"/>
      <c r="Q109" s="662"/>
      <c r="R109" s="662"/>
      <c r="S109" s="662"/>
      <c r="T109" s="662"/>
      <c r="U109" s="662"/>
      <c r="V109" s="662"/>
      <c r="W109" s="662"/>
      <c r="X109" s="662"/>
      <c r="Y109" s="663"/>
      <c r="Z109" s="672"/>
      <c r="AA109" s="673"/>
      <c r="AB109" s="673"/>
      <c r="AC109" s="674"/>
      <c r="AD109" s="675"/>
      <c r="AE109" s="676"/>
      <c r="AF109" s="676"/>
      <c r="AG109" s="440"/>
      <c r="AH109" s="440"/>
      <c r="AI109" s="440"/>
      <c r="AJ109" s="652"/>
      <c r="AK109" s="677"/>
      <c r="AL109" s="675"/>
      <c r="AM109" s="675"/>
      <c r="AN109" s="676"/>
      <c r="AO109" s="676"/>
      <c r="AP109" s="440"/>
      <c r="AQ109" s="677"/>
    </row>
    <row r="110" spans="1:43" ht="24" x14ac:dyDescent="0.25">
      <c r="A110" s="670"/>
      <c r="B110" s="671" t="s">
        <v>459</v>
      </c>
      <c r="C110" s="661"/>
      <c r="D110" s="662"/>
      <c r="E110" s="662"/>
      <c r="F110" s="662"/>
      <c r="G110" s="662"/>
      <c r="H110" s="662"/>
      <c r="I110" s="662"/>
      <c r="J110" s="662"/>
      <c r="K110" s="662"/>
      <c r="L110" s="662"/>
      <c r="M110" s="662"/>
      <c r="N110" s="663"/>
      <c r="O110" s="662"/>
      <c r="P110" s="662"/>
      <c r="Q110" s="662"/>
      <c r="R110" s="662"/>
      <c r="S110" s="662"/>
      <c r="T110" s="662"/>
      <c r="U110" s="662"/>
      <c r="V110" s="662"/>
      <c r="W110" s="662"/>
      <c r="X110" s="662"/>
      <c r="Y110" s="663"/>
      <c r="Z110" s="672"/>
      <c r="AA110" s="673"/>
      <c r="AB110" s="673"/>
      <c r="AC110" s="674"/>
      <c r="AD110" s="675"/>
      <c r="AE110" s="676"/>
      <c r="AF110" s="676"/>
      <c r="AG110" s="440"/>
      <c r="AH110" s="440"/>
      <c r="AI110" s="440"/>
      <c r="AJ110" s="652"/>
      <c r="AK110" s="677"/>
      <c r="AL110" s="675"/>
      <c r="AM110" s="675"/>
      <c r="AN110" s="676"/>
      <c r="AO110" s="676"/>
      <c r="AP110" s="440"/>
      <c r="AQ110" s="677"/>
    </row>
    <row r="111" spans="1:43" ht="24" x14ac:dyDescent="0.25">
      <c r="A111" s="670"/>
      <c r="B111" s="671" t="s">
        <v>460</v>
      </c>
      <c r="C111" s="661"/>
      <c r="D111" s="662"/>
      <c r="E111" s="662"/>
      <c r="F111" s="662"/>
      <c r="G111" s="662"/>
      <c r="H111" s="662"/>
      <c r="I111" s="662"/>
      <c r="J111" s="662"/>
      <c r="K111" s="662"/>
      <c r="L111" s="662"/>
      <c r="M111" s="662"/>
      <c r="N111" s="663"/>
      <c r="O111" s="662"/>
      <c r="P111" s="662"/>
      <c r="Q111" s="662"/>
      <c r="R111" s="662"/>
      <c r="S111" s="662"/>
      <c r="T111" s="662"/>
      <c r="U111" s="662"/>
      <c r="V111" s="662"/>
      <c r="W111" s="662"/>
      <c r="X111" s="662"/>
      <c r="Y111" s="663"/>
      <c r="Z111" s="672"/>
      <c r="AA111" s="673"/>
      <c r="AB111" s="673"/>
      <c r="AC111" s="674"/>
      <c r="AD111" s="675"/>
      <c r="AE111" s="676"/>
      <c r="AF111" s="676"/>
      <c r="AG111" s="440"/>
      <c r="AH111" s="440"/>
      <c r="AI111" s="440"/>
      <c r="AJ111" s="652"/>
      <c r="AK111" s="677"/>
      <c r="AL111" s="675"/>
      <c r="AM111" s="675"/>
      <c r="AN111" s="676"/>
      <c r="AO111" s="676"/>
      <c r="AP111" s="440"/>
      <c r="AQ111" s="677"/>
    </row>
    <row r="112" spans="1:43" ht="36" x14ac:dyDescent="0.25">
      <c r="A112" s="670"/>
      <c r="B112" s="671" t="s">
        <v>461</v>
      </c>
      <c r="C112" s="661"/>
      <c r="D112" s="662"/>
      <c r="E112" s="662"/>
      <c r="F112" s="662"/>
      <c r="G112" s="662"/>
      <c r="H112" s="662"/>
      <c r="I112" s="662"/>
      <c r="J112" s="662"/>
      <c r="K112" s="662"/>
      <c r="L112" s="662"/>
      <c r="M112" s="662"/>
      <c r="N112" s="663"/>
      <c r="O112" s="662"/>
      <c r="P112" s="662"/>
      <c r="Q112" s="662"/>
      <c r="R112" s="662"/>
      <c r="S112" s="662"/>
      <c r="T112" s="662"/>
      <c r="U112" s="662"/>
      <c r="V112" s="662"/>
      <c r="W112" s="662"/>
      <c r="X112" s="662"/>
      <c r="Y112" s="663"/>
      <c r="Z112" s="672"/>
      <c r="AA112" s="673"/>
      <c r="AB112" s="673"/>
      <c r="AC112" s="674"/>
      <c r="AD112" s="675"/>
      <c r="AE112" s="676"/>
      <c r="AF112" s="676"/>
      <c r="AG112" s="440"/>
      <c r="AH112" s="440"/>
      <c r="AI112" s="440"/>
      <c r="AJ112" s="652"/>
      <c r="AK112" s="677"/>
      <c r="AL112" s="675"/>
      <c r="AM112" s="675"/>
      <c r="AN112" s="676"/>
      <c r="AO112" s="676"/>
      <c r="AP112" s="440"/>
      <c r="AQ112" s="677"/>
    </row>
    <row r="113" spans="1:43" ht="24" x14ac:dyDescent="0.25">
      <c r="A113" s="670"/>
      <c r="B113" s="671" t="s">
        <v>462</v>
      </c>
      <c r="C113" s="661"/>
      <c r="D113" s="662"/>
      <c r="E113" s="662"/>
      <c r="F113" s="662"/>
      <c r="G113" s="662"/>
      <c r="H113" s="662"/>
      <c r="I113" s="662"/>
      <c r="J113" s="662"/>
      <c r="K113" s="662"/>
      <c r="L113" s="662"/>
      <c r="M113" s="662"/>
      <c r="N113" s="663"/>
      <c r="O113" s="662"/>
      <c r="P113" s="662"/>
      <c r="Q113" s="662"/>
      <c r="R113" s="662"/>
      <c r="S113" s="662"/>
      <c r="T113" s="662"/>
      <c r="U113" s="662"/>
      <c r="V113" s="662"/>
      <c r="W113" s="662"/>
      <c r="X113" s="662"/>
      <c r="Y113" s="663"/>
      <c r="Z113" s="672"/>
      <c r="AA113" s="673"/>
      <c r="AB113" s="673"/>
      <c r="AC113" s="674"/>
      <c r="AD113" s="675"/>
      <c r="AE113" s="676"/>
      <c r="AF113" s="676"/>
      <c r="AG113" s="440"/>
      <c r="AH113" s="440"/>
      <c r="AI113" s="440"/>
      <c r="AJ113" s="652"/>
      <c r="AK113" s="677"/>
      <c r="AL113" s="675"/>
      <c r="AM113" s="675"/>
      <c r="AN113" s="676"/>
      <c r="AO113" s="676"/>
      <c r="AP113" s="440"/>
      <c r="AQ113" s="677"/>
    </row>
    <row r="114" spans="1:43" ht="24" x14ac:dyDescent="0.25">
      <c r="A114" s="670"/>
      <c r="B114" s="671" t="s">
        <v>463</v>
      </c>
      <c r="C114" s="661"/>
      <c r="D114" s="662"/>
      <c r="E114" s="662"/>
      <c r="F114" s="662"/>
      <c r="G114" s="662"/>
      <c r="H114" s="662"/>
      <c r="I114" s="662"/>
      <c r="J114" s="662"/>
      <c r="K114" s="662"/>
      <c r="L114" s="662"/>
      <c r="M114" s="662"/>
      <c r="N114" s="663"/>
      <c r="O114" s="662"/>
      <c r="P114" s="662"/>
      <c r="Q114" s="662"/>
      <c r="R114" s="662"/>
      <c r="S114" s="662"/>
      <c r="T114" s="662"/>
      <c r="U114" s="662"/>
      <c r="V114" s="662"/>
      <c r="W114" s="662"/>
      <c r="X114" s="662"/>
      <c r="Y114" s="663"/>
      <c r="Z114" s="672"/>
      <c r="AA114" s="673"/>
      <c r="AB114" s="673"/>
      <c r="AC114" s="674"/>
      <c r="AD114" s="675"/>
      <c r="AE114" s="676"/>
      <c r="AF114" s="676"/>
      <c r="AG114" s="440"/>
      <c r="AH114" s="440"/>
      <c r="AI114" s="440"/>
      <c r="AJ114" s="652"/>
      <c r="AK114" s="677"/>
      <c r="AL114" s="675"/>
      <c r="AM114" s="675"/>
      <c r="AN114" s="676"/>
      <c r="AO114" s="676"/>
      <c r="AP114" s="440"/>
      <c r="AQ114" s="677"/>
    </row>
    <row r="115" spans="1:43" x14ac:dyDescent="0.25">
      <c r="A115" s="670"/>
      <c r="B115" s="671" t="s">
        <v>465</v>
      </c>
      <c r="C115" s="661"/>
      <c r="D115" s="662"/>
      <c r="E115" s="662"/>
      <c r="F115" s="662"/>
      <c r="G115" s="662"/>
      <c r="H115" s="662"/>
      <c r="I115" s="662"/>
      <c r="J115" s="662"/>
      <c r="K115" s="662"/>
      <c r="L115" s="662"/>
      <c r="M115" s="662"/>
      <c r="N115" s="663"/>
      <c r="O115" s="662"/>
      <c r="P115" s="662"/>
      <c r="Q115" s="662"/>
      <c r="R115" s="662"/>
      <c r="S115" s="662"/>
      <c r="T115" s="662"/>
      <c r="U115" s="662"/>
      <c r="V115" s="662"/>
      <c r="W115" s="662"/>
      <c r="X115" s="662"/>
      <c r="Y115" s="663"/>
      <c r="Z115" s="672"/>
      <c r="AA115" s="673"/>
      <c r="AB115" s="673"/>
      <c r="AC115" s="674"/>
      <c r="AD115" s="675"/>
      <c r="AE115" s="676"/>
      <c r="AF115" s="676"/>
      <c r="AG115" s="440"/>
      <c r="AH115" s="440"/>
      <c r="AI115" s="440"/>
      <c r="AJ115" s="652"/>
      <c r="AK115" s="677"/>
      <c r="AL115" s="675"/>
      <c r="AM115" s="675"/>
      <c r="AN115" s="676"/>
      <c r="AO115" s="676"/>
      <c r="AP115" s="440"/>
      <c r="AQ115" s="677"/>
    </row>
    <row r="116" spans="1:43" x14ac:dyDescent="0.25">
      <c r="A116" s="659" t="s">
        <v>148</v>
      </c>
      <c r="B116" s="660"/>
      <c r="C116" s="957"/>
      <c r="D116" s="953"/>
      <c r="E116" s="953"/>
      <c r="F116" s="953"/>
      <c r="G116" s="953"/>
      <c r="H116" s="953"/>
      <c r="I116" s="953"/>
      <c r="J116" s="953"/>
      <c r="K116" s="953"/>
      <c r="L116" s="953"/>
      <c r="M116" s="953"/>
      <c r="N116" s="954"/>
      <c r="O116" s="953"/>
      <c r="P116" s="953"/>
      <c r="Q116" s="953"/>
      <c r="R116" s="953"/>
      <c r="S116" s="953"/>
      <c r="T116" s="953"/>
      <c r="U116" s="953"/>
      <c r="V116" s="953"/>
      <c r="W116" s="953"/>
      <c r="X116" s="953"/>
      <c r="Y116" s="954"/>
      <c r="Z116" s="686"/>
      <c r="AA116" s="687"/>
      <c r="AB116" s="687"/>
      <c r="AC116" s="688"/>
      <c r="AD116" s="667">
        <v>720</v>
      </c>
      <c r="AE116" s="668">
        <v>815</v>
      </c>
      <c r="AF116" s="668">
        <v>920</v>
      </c>
      <c r="AG116" s="440">
        <f>AD116*AF116</f>
        <v>662400</v>
      </c>
      <c r="AH116" s="440">
        <f>AE116*AF116</f>
        <v>749800</v>
      </c>
      <c r="AI116" s="440">
        <f t="shared" ref="AI116" si="5">AH116-AG116</f>
        <v>87400</v>
      </c>
      <c r="AJ116" s="652"/>
      <c r="AK116" s="689"/>
      <c r="AL116" s="667"/>
      <c r="AM116" s="667"/>
      <c r="AN116" s="668"/>
      <c r="AO116" s="668"/>
      <c r="AP116" s="440">
        <v>0</v>
      </c>
      <c r="AQ116" s="689"/>
    </row>
    <row r="117" spans="1:43" x14ac:dyDescent="0.25">
      <c r="A117" s="659"/>
      <c r="B117" s="660"/>
      <c r="C117" s="683"/>
      <c r="D117" s="684"/>
      <c r="E117" s="684"/>
      <c r="F117" s="684"/>
      <c r="G117" s="684"/>
      <c r="H117" s="684"/>
      <c r="I117" s="684"/>
      <c r="J117" s="684"/>
      <c r="K117" s="684"/>
      <c r="L117" s="684"/>
      <c r="M117" s="684"/>
      <c r="N117" s="685"/>
      <c r="O117" s="684"/>
      <c r="P117" s="684"/>
      <c r="Q117" s="684"/>
      <c r="R117" s="684"/>
      <c r="S117" s="684"/>
      <c r="T117" s="684"/>
      <c r="U117" s="684"/>
      <c r="V117" s="684"/>
      <c r="W117" s="684"/>
      <c r="X117" s="684"/>
      <c r="Y117" s="685"/>
      <c r="Z117" s="686"/>
      <c r="AA117" s="687"/>
      <c r="AB117" s="687"/>
      <c r="AC117" s="688"/>
      <c r="AD117" s="667"/>
      <c r="AE117" s="668"/>
      <c r="AF117" s="668"/>
      <c r="AG117" s="440"/>
      <c r="AH117" s="440"/>
      <c r="AI117" s="440"/>
      <c r="AJ117" s="652"/>
      <c r="AK117" s="689"/>
      <c r="AL117" s="667"/>
      <c r="AM117" s="667"/>
      <c r="AN117" s="668"/>
      <c r="AO117" s="668"/>
      <c r="AP117" s="440"/>
      <c r="AQ117" s="689"/>
    </row>
    <row r="118" spans="1:43" ht="59.1" customHeight="1" thickBot="1" x14ac:dyDescent="0.3">
      <c r="A118" s="682" t="s">
        <v>496</v>
      </c>
      <c r="B118" s="682"/>
      <c r="C118" s="255"/>
      <c r="D118" s="256"/>
      <c r="E118" s="256"/>
      <c r="F118" s="256"/>
      <c r="G118" s="256"/>
      <c r="H118" s="256"/>
      <c r="I118" s="256"/>
      <c r="J118" s="256"/>
      <c r="K118" s="256"/>
      <c r="L118" s="256"/>
      <c r="M118" s="256"/>
      <c r="N118" s="257"/>
      <c r="O118" s="256"/>
      <c r="P118" s="256"/>
      <c r="Q118" s="256"/>
      <c r="R118" s="256"/>
      <c r="S118" s="256"/>
      <c r="T118" s="256"/>
      <c r="U118" s="256"/>
      <c r="V118" s="958"/>
      <c r="W118" s="958"/>
      <c r="X118" s="958"/>
      <c r="Y118" s="959"/>
      <c r="Z118" s="481"/>
      <c r="AA118" s="482"/>
      <c r="AB118" s="482"/>
      <c r="AC118" s="483"/>
      <c r="AD118" s="443">
        <v>85</v>
      </c>
      <c r="AE118" s="225">
        <v>93</v>
      </c>
      <c r="AF118" s="225">
        <v>920</v>
      </c>
      <c r="AG118" s="440">
        <f>AD118*AF118</f>
        <v>78200</v>
      </c>
      <c r="AH118" s="440">
        <f>AE118*AF118</f>
        <v>85560</v>
      </c>
      <c r="AI118" s="440">
        <f t="shared" ref="AI118" si="6">AH118-AG118</f>
        <v>7360</v>
      </c>
      <c r="AJ118" s="652">
        <v>6375</v>
      </c>
      <c r="AK118" s="445"/>
      <c r="AL118" s="443"/>
      <c r="AM118" s="443"/>
      <c r="AN118" s="225"/>
      <c r="AO118" s="225"/>
      <c r="AP118" s="440">
        <f t="shared" si="1"/>
        <v>0</v>
      </c>
      <c r="AQ118" s="445"/>
    </row>
    <row r="119" spans="1:43" ht="12.6" thickBot="1" x14ac:dyDescent="0.3">
      <c r="A119" s="205" t="s">
        <v>149</v>
      </c>
      <c r="B119" s="122"/>
      <c r="C119" s="122"/>
      <c r="D119" s="122"/>
      <c r="E119" s="122"/>
      <c r="F119" s="122"/>
      <c r="G119" s="122"/>
      <c r="H119" s="122"/>
      <c r="I119" s="122"/>
      <c r="J119" s="122"/>
      <c r="K119" s="122"/>
      <c r="L119" s="122"/>
      <c r="M119" s="122"/>
      <c r="N119" s="122"/>
      <c r="O119" s="122"/>
      <c r="P119" s="122"/>
      <c r="Q119" s="122"/>
      <c r="R119" s="122"/>
      <c r="S119" s="122"/>
      <c r="T119" s="122"/>
      <c r="U119" s="122"/>
      <c r="V119" s="122"/>
      <c r="W119" s="122"/>
      <c r="X119" s="122"/>
      <c r="Y119" s="122"/>
      <c r="Z119" s="475"/>
      <c r="AA119" s="475"/>
      <c r="AB119" s="475"/>
      <c r="AC119" s="475">
        <f t="shared" ref="AC119:AI119" si="7">SUM(AC6:AC118)</f>
        <v>0</v>
      </c>
      <c r="AD119" s="220">
        <f t="shared" si="7"/>
        <v>11595</v>
      </c>
      <c r="AE119" s="220">
        <f t="shared" si="7"/>
        <v>13033</v>
      </c>
      <c r="AF119" s="220">
        <f>SUM(AF6:AF118)</f>
        <v>6440</v>
      </c>
      <c r="AG119" s="222">
        <f t="shared" si="7"/>
        <v>10667400</v>
      </c>
      <c r="AH119" s="222">
        <f t="shared" si="7"/>
        <v>11990360</v>
      </c>
      <c r="AI119" s="222">
        <f t="shared" si="7"/>
        <v>1322960</v>
      </c>
      <c r="AJ119" s="237">
        <f>SUM(AJ6:AJ118)</f>
        <v>1376692</v>
      </c>
      <c r="AK119" s="236"/>
      <c r="AL119" s="220"/>
      <c r="AM119" s="220">
        <f>SUM(AM6:AM118)</f>
        <v>0</v>
      </c>
      <c r="AN119" s="220">
        <f>SUM(AN6:AN118)</f>
        <v>0</v>
      </c>
      <c r="AO119" s="220">
        <f>SUM(AO6:AO118)</f>
        <v>0</v>
      </c>
      <c r="AP119" s="222">
        <f>SUM(AP6:AP118)</f>
        <v>0</v>
      </c>
      <c r="AQ119" s="222"/>
    </row>
    <row r="120" spans="1:43" x14ac:dyDescent="0.25">
      <c r="AC120" s="116" t="s">
        <v>704</v>
      </c>
      <c r="AD120" s="116">
        <f>AVERAGE(AD119:AE119)</f>
        <v>12314</v>
      </c>
    </row>
    <row r="122" spans="1:43" ht="15.6" x14ac:dyDescent="0.3">
      <c r="AG122" s="123"/>
    </row>
  </sheetData>
  <mergeCells count="7">
    <mergeCell ref="AQ4:AQ5"/>
    <mergeCell ref="A1:B1"/>
    <mergeCell ref="C1:AQ1"/>
    <mergeCell ref="Z2:AK2"/>
    <mergeCell ref="AL2:AQ2"/>
    <mergeCell ref="Z3:AC3"/>
    <mergeCell ref="AD3:AK3"/>
  </mergeCells>
  <conditionalFormatting sqref="C6:AC118">
    <cfRule type="colorScale" priority="1">
      <colorScale>
        <cfvo type="num" val="0"/>
        <cfvo type="num" val="1"/>
        <color theme="0"/>
        <color theme="2" tint="-0.249977111117893"/>
      </colorScale>
    </cfRule>
  </conditionalFormatting>
  <pageMargins left="0.7" right="0.7" top="0.75" bottom="0.75" header="0.3" footer="0.3"/>
  <pageSetup paperSize="9" scale="1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AQ122"/>
  <sheetViews>
    <sheetView showGridLines="0" topLeftCell="E1" zoomScale="85" zoomScaleNormal="85" zoomScaleSheetLayoutView="90" workbookViewId="0">
      <pane ySplit="5" topLeftCell="A95" activePane="bottomLeft" state="frozen"/>
      <selection pane="bottomLeft" activeCell="AC120" sqref="AC120:AD120"/>
    </sheetView>
  </sheetViews>
  <sheetFormatPr defaultColWidth="8.6640625" defaultRowHeight="12" x14ac:dyDescent="0.25"/>
  <cols>
    <col min="1" max="1" width="36.33203125" style="116" customWidth="1"/>
    <col min="2" max="2" width="61.6640625" style="116" customWidth="1"/>
    <col min="3" max="3" width="3.33203125" style="116" customWidth="1"/>
    <col min="4" max="24" width="3.6640625" style="116" customWidth="1"/>
    <col min="25" max="25" width="4.44140625" style="116" customWidth="1"/>
    <col min="26" max="28" width="16.44140625" style="116" customWidth="1"/>
    <col min="29" max="29" width="18.109375" style="116" customWidth="1"/>
    <col min="30" max="30" width="9" style="116" customWidth="1"/>
    <col min="31" max="31" width="9.109375" style="116" customWidth="1"/>
    <col min="32" max="32" width="9" style="116" customWidth="1"/>
    <col min="33" max="33" width="14.88671875" style="117" customWidth="1"/>
    <col min="34" max="34" width="16.6640625" style="116" customWidth="1"/>
    <col min="35" max="35" width="11.6640625" style="116" bestFit="1" customWidth="1"/>
    <col min="36" max="36" width="10.6640625" style="116" customWidth="1"/>
    <col min="37" max="37" width="52.109375" style="116" customWidth="1"/>
    <col min="38" max="38" width="51.6640625" style="116" customWidth="1"/>
    <col min="39" max="42" width="8.6640625" style="116"/>
    <col min="43" max="43" width="18.88671875" style="116" customWidth="1"/>
    <col min="44" max="16384" width="8.6640625" style="116"/>
  </cols>
  <sheetData>
    <row r="1" spans="1:43" ht="26.1" customHeight="1" thickBot="1" x14ac:dyDescent="0.35">
      <c r="A1" s="1206" t="s">
        <v>195</v>
      </c>
      <c r="B1" s="1207"/>
      <c r="C1" s="1206" t="s">
        <v>695</v>
      </c>
      <c r="D1" s="1208"/>
      <c r="E1" s="1208"/>
      <c r="F1" s="1208"/>
      <c r="G1" s="1208"/>
      <c r="H1" s="1208"/>
      <c r="I1" s="1208"/>
      <c r="J1" s="1208"/>
      <c r="K1" s="1208"/>
      <c r="L1" s="1208"/>
      <c r="M1" s="1208"/>
      <c r="N1" s="1208"/>
      <c r="O1" s="1208"/>
      <c r="P1" s="1208"/>
      <c r="Q1" s="1208"/>
      <c r="R1" s="1208"/>
      <c r="S1" s="1208"/>
      <c r="T1" s="1208"/>
      <c r="U1" s="1208"/>
      <c r="V1" s="1208"/>
      <c r="W1" s="1208"/>
      <c r="X1" s="1208"/>
      <c r="Y1" s="1208"/>
      <c r="Z1" s="1208"/>
      <c r="AA1" s="1208"/>
      <c r="AB1" s="1208"/>
      <c r="AC1" s="1208"/>
      <c r="AD1" s="1208"/>
      <c r="AE1" s="1208"/>
      <c r="AF1" s="1208"/>
      <c r="AG1" s="1208"/>
      <c r="AH1" s="1208"/>
      <c r="AI1" s="1208"/>
      <c r="AJ1" s="1208"/>
      <c r="AK1" s="1208"/>
      <c r="AL1" s="1208"/>
      <c r="AM1" s="1208"/>
      <c r="AN1" s="1208"/>
      <c r="AO1" s="1208"/>
      <c r="AP1" s="1208"/>
      <c r="AQ1" s="1208"/>
    </row>
    <row r="2" spans="1:43" ht="12.6" thickBot="1" x14ac:dyDescent="0.3">
      <c r="A2" s="213"/>
      <c r="B2" s="212"/>
      <c r="C2" s="214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5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5"/>
      <c r="Z2" s="1214" t="s">
        <v>228</v>
      </c>
      <c r="AA2" s="1215"/>
      <c r="AB2" s="1215"/>
      <c r="AC2" s="1215"/>
      <c r="AD2" s="1215"/>
      <c r="AE2" s="1215"/>
      <c r="AF2" s="1215"/>
      <c r="AG2" s="1215"/>
      <c r="AH2" s="1215"/>
      <c r="AI2" s="1215"/>
      <c r="AJ2" s="1215"/>
      <c r="AK2" s="1216"/>
      <c r="AL2" s="1209" t="s">
        <v>227</v>
      </c>
      <c r="AM2" s="1210"/>
      <c r="AN2" s="1210"/>
      <c r="AO2" s="1210"/>
      <c r="AP2" s="1210"/>
      <c r="AQ2" s="1211"/>
    </row>
    <row r="3" spans="1:43" ht="10.95" customHeight="1" thickBot="1" x14ac:dyDescent="0.3">
      <c r="A3" s="242"/>
      <c r="B3" s="240"/>
      <c r="C3" s="241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39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39"/>
      <c r="Z3" s="1209" t="s">
        <v>285</v>
      </c>
      <c r="AA3" s="1210"/>
      <c r="AB3" s="1210"/>
      <c r="AC3" s="1210"/>
      <c r="AD3" s="1209" t="s">
        <v>286</v>
      </c>
      <c r="AE3" s="1210"/>
      <c r="AF3" s="1210"/>
      <c r="AG3" s="1210"/>
      <c r="AH3" s="1210"/>
      <c r="AI3" s="1210"/>
      <c r="AJ3" s="1210"/>
      <c r="AK3" s="1211"/>
      <c r="AL3" s="218"/>
      <c r="AM3" s="219"/>
      <c r="AN3" s="219"/>
      <c r="AO3" s="219"/>
      <c r="AP3" s="219"/>
      <c r="AQ3" s="210"/>
    </row>
    <row r="4" spans="1:43" ht="48" customHeight="1" x14ac:dyDescent="0.25">
      <c r="A4" s="242" t="s">
        <v>196</v>
      </c>
      <c r="B4" s="497" t="s">
        <v>297</v>
      </c>
      <c r="C4" s="241" t="s">
        <v>119</v>
      </c>
      <c r="D4" s="240" t="s">
        <v>120</v>
      </c>
      <c r="E4" s="240" t="s">
        <v>121</v>
      </c>
      <c r="F4" s="240" t="s">
        <v>122</v>
      </c>
      <c r="G4" s="240" t="s">
        <v>123</v>
      </c>
      <c r="H4" s="240" t="s">
        <v>124</v>
      </c>
      <c r="I4" s="240" t="s">
        <v>125</v>
      </c>
      <c r="J4" s="240" t="s">
        <v>126</v>
      </c>
      <c r="K4" s="240" t="s">
        <v>127</v>
      </c>
      <c r="L4" s="240" t="s">
        <v>128</v>
      </c>
      <c r="M4" s="240" t="s">
        <v>129</v>
      </c>
      <c r="N4" s="239" t="s">
        <v>130</v>
      </c>
      <c r="O4" s="240" t="s">
        <v>131</v>
      </c>
      <c r="P4" s="240" t="s">
        <v>132</v>
      </c>
      <c r="Q4" s="240" t="s">
        <v>133</v>
      </c>
      <c r="R4" s="240" t="s">
        <v>134</v>
      </c>
      <c r="S4" s="240" t="s">
        <v>135</v>
      </c>
      <c r="T4" s="240" t="s">
        <v>136</v>
      </c>
      <c r="U4" s="240" t="s">
        <v>137</v>
      </c>
      <c r="V4" s="240" t="s">
        <v>138</v>
      </c>
      <c r="W4" s="240" t="s">
        <v>139</v>
      </c>
      <c r="X4" s="240" t="s">
        <v>140</v>
      </c>
      <c r="Y4" s="239" t="s">
        <v>141</v>
      </c>
      <c r="Z4" s="214" t="s">
        <v>287</v>
      </c>
      <c r="AA4" s="212" t="s">
        <v>288</v>
      </c>
      <c r="AB4" s="212" t="s">
        <v>289</v>
      </c>
      <c r="AC4" s="212" t="s">
        <v>290</v>
      </c>
      <c r="AD4" s="216" t="s">
        <v>188</v>
      </c>
      <c r="AE4" s="217" t="s">
        <v>189</v>
      </c>
      <c r="AF4" s="217" t="s">
        <v>190</v>
      </c>
      <c r="AG4" s="210" t="s">
        <v>192</v>
      </c>
      <c r="AH4" s="210" t="s">
        <v>191</v>
      </c>
      <c r="AI4" s="210" t="s">
        <v>150</v>
      </c>
      <c r="AJ4" s="476" t="s">
        <v>194</v>
      </c>
      <c r="AK4" s="476" t="s">
        <v>197</v>
      </c>
      <c r="AL4" s="476" t="s">
        <v>226</v>
      </c>
      <c r="AM4" s="216" t="s">
        <v>188</v>
      </c>
      <c r="AN4" s="217" t="s">
        <v>189</v>
      </c>
      <c r="AO4" s="217" t="s">
        <v>190</v>
      </c>
      <c r="AP4" s="210" t="s">
        <v>192</v>
      </c>
      <c r="AQ4" s="1212" t="s">
        <v>225</v>
      </c>
    </row>
    <row r="5" spans="1:43" ht="8.25" customHeight="1" thickBot="1" x14ac:dyDescent="0.3">
      <c r="A5" s="118"/>
      <c r="B5" s="119"/>
      <c r="C5" s="120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21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21"/>
      <c r="Z5" s="120"/>
      <c r="AA5" s="119"/>
      <c r="AB5" s="119"/>
      <c r="AC5" s="119"/>
      <c r="AD5" s="218"/>
      <c r="AE5" s="219"/>
      <c r="AF5" s="219"/>
      <c r="AG5" s="221"/>
      <c r="AH5" s="221"/>
      <c r="AI5" s="221"/>
      <c r="AJ5" s="652"/>
      <c r="AK5" s="238"/>
      <c r="AL5" s="223"/>
      <c r="AM5" s="218"/>
      <c r="AN5" s="219"/>
      <c r="AO5" s="219"/>
      <c r="AP5" s="221"/>
      <c r="AQ5" s="1213"/>
    </row>
    <row r="6" spans="1:43" ht="24" x14ac:dyDescent="0.25">
      <c r="A6" s="659" t="s">
        <v>690</v>
      </c>
      <c r="B6" s="660" t="s">
        <v>387</v>
      </c>
      <c r="C6" s="661" t="s">
        <v>696</v>
      </c>
      <c r="D6" s="662" t="s">
        <v>696</v>
      </c>
      <c r="E6" s="662" t="s">
        <v>696</v>
      </c>
      <c r="F6" s="662" t="s">
        <v>696</v>
      </c>
      <c r="G6" s="662" t="s">
        <v>696</v>
      </c>
      <c r="H6" s="662" t="s">
        <v>696</v>
      </c>
      <c r="I6" s="662" t="s">
        <v>696</v>
      </c>
      <c r="J6" s="662" t="s">
        <v>696</v>
      </c>
      <c r="K6" s="662" t="s">
        <v>696</v>
      </c>
      <c r="L6" s="662" t="s">
        <v>696</v>
      </c>
      <c r="M6" s="662" t="s">
        <v>696</v>
      </c>
      <c r="N6" s="663" t="s">
        <v>696</v>
      </c>
      <c r="O6" s="662" t="s">
        <v>696</v>
      </c>
      <c r="P6" s="662" t="s">
        <v>696</v>
      </c>
      <c r="Q6" s="662" t="s">
        <v>696</v>
      </c>
      <c r="R6" s="662" t="s">
        <v>696</v>
      </c>
      <c r="S6" s="662" t="s">
        <v>696</v>
      </c>
      <c r="T6" s="662" t="s">
        <v>696</v>
      </c>
      <c r="U6" s="662" t="s">
        <v>696</v>
      </c>
      <c r="V6" s="662" t="s">
        <v>696</v>
      </c>
      <c r="W6" s="662" t="s">
        <v>696</v>
      </c>
      <c r="X6" s="662" t="s">
        <v>696</v>
      </c>
      <c r="Y6" s="662" t="s">
        <v>696</v>
      </c>
      <c r="Z6" s="960" t="s">
        <v>697</v>
      </c>
      <c r="AA6" s="961">
        <v>4</v>
      </c>
      <c r="AB6" s="961">
        <v>20000</v>
      </c>
      <c r="AC6" s="962">
        <v>120000</v>
      </c>
      <c r="AD6" s="667">
        <v>9115</v>
      </c>
      <c r="AE6" s="668">
        <v>9522</v>
      </c>
      <c r="AF6" s="963">
        <v>960</v>
      </c>
      <c r="AG6" s="964">
        <f t="shared" ref="AG6:AG118" si="0">AD6*AF6+AC6</f>
        <v>8870400</v>
      </c>
      <c r="AH6" s="964">
        <f t="shared" ref="AH6:AH118" si="1">AE6*AF6+AC6</f>
        <v>9261120</v>
      </c>
      <c r="AI6" s="964">
        <f t="shared" ref="AI6:AI118" si="2">AH6-AG6</f>
        <v>390720</v>
      </c>
      <c r="AJ6" s="965">
        <v>911000</v>
      </c>
      <c r="AK6" s="669"/>
      <c r="AL6" s="441"/>
      <c r="AM6" s="667"/>
      <c r="AN6" s="668"/>
      <c r="AO6" s="668"/>
      <c r="AP6" s="440">
        <f t="shared" ref="AP6:AP118" si="3">AM6*AO6</f>
        <v>0</v>
      </c>
      <c r="AQ6" s="669"/>
    </row>
    <row r="7" spans="1:43" x14ac:dyDescent="0.25">
      <c r="A7" s="670"/>
      <c r="B7" s="671" t="s">
        <v>426</v>
      </c>
      <c r="C7" s="661"/>
      <c r="D7" s="662"/>
      <c r="E7" s="662"/>
      <c r="F7" s="662"/>
      <c r="G7" s="662"/>
      <c r="H7" s="662"/>
      <c r="I7" s="662"/>
      <c r="J7" s="662"/>
      <c r="K7" s="662"/>
      <c r="L7" s="662"/>
      <c r="M7" s="662"/>
      <c r="N7" s="663"/>
      <c r="O7" s="662"/>
      <c r="P7" s="662"/>
      <c r="Q7" s="662"/>
      <c r="R7" s="662"/>
      <c r="S7" s="662"/>
      <c r="T7" s="662"/>
      <c r="U7" s="662"/>
      <c r="V7" s="662"/>
      <c r="W7" s="662"/>
      <c r="X7" s="662"/>
      <c r="Y7" s="663"/>
      <c r="Z7" s="672"/>
      <c r="AA7" s="673"/>
      <c r="AB7" s="673"/>
      <c r="AC7" s="674"/>
      <c r="AD7" s="675"/>
      <c r="AE7" s="676"/>
      <c r="AF7" s="676"/>
      <c r="AG7" s="440"/>
      <c r="AH7" s="440"/>
      <c r="AI7" s="440"/>
      <c r="AJ7" s="652"/>
      <c r="AK7" s="677"/>
      <c r="AL7" s="441"/>
      <c r="AM7" s="675"/>
      <c r="AN7" s="676"/>
      <c r="AO7" s="676"/>
      <c r="AP7" s="440"/>
      <c r="AQ7" s="677"/>
    </row>
    <row r="8" spans="1:43" x14ac:dyDescent="0.25">
      <c r="A8" s="670"/>
      <c r="B8" s="671" t="s">
        <v>388</v>
      </c>
      <c r="C8" s="661"/>
      <c r="D8" s="662"/>
      <c r="E8" s="662"/>
      <c r="F8" s="662"/>
      <c r="G8" s="662"/>
      <c r="H8" s="662"/>
      <c r="I8" s="662"/>
      <c r="J8" s="662"/>
      <c r="K8" s="662"/>
      <c r="L8" s="662"/>
      <c r="M8" s="662"/>
      <c r="N8" s="663"/>
      <c r="O8" s="662"/>
      <c r="P8" s="662"/>
      <c r="Q8" s="662"/>
      <c r="R8" s="662"/>
      <c r="S8" s="662"/>
      <c r="T8" s="662"/>
      <c r="U8" s="662"/>
      <c r="V8" s="662"/>
      <c r="W8" s="662"/>
      <c r="X8" s="662"/>
      <c r="Y8" s="663"/>
      <c r="Z8" s="672"/>
      <c r="AA8" s="673"/>
      <c r="AB8" s="673"/>
      <c r="AC8" s="674"/>
      <c r="AD8" s="675"/>
      <c r="AE8" s="676"/>
      <c r="AF8" s="676"/>
      <c r="AG8" s="440"/>
      <c r="AH8" s="440"/>
      <c r="AI8" s="440"/>
      <c r="AJ8" s="652"/>
      <c r="AK8" s="677"/>
      <c r="AL8" s="441"/>
      <c r="AM8" s="675"/>
      <c r="AN8" s="676"/>
      <c r="AO8" s="676"/>
      <c r="AP8" s="440"/>
      <c r="AQ8" s="677"/>
    </row>
    <row r="9" spans="1:43" x14ac:dyDescent="0.25">
      <c r="A9" s="670"/>
      <c r="B9" s="671" t="s">
        <v>429</v>
      </c>
      <c r="C9" s="661"/>
      <c r="D9" s="662"/>
      <c r="E9" s="662"/>
      <c r="F9" s="662"/>
      <c r="G9" s="662"/>
      <c r="H9" s="662"/>
      <c r="I9" s="662"/>
      <c r="J9" s="662"/>
      <c r="K9" s="662"/>
      <c r="L9" s="662"/>
      <c r="M9" s="662"/>
      <c r="N9" s="663"/>
      <c r="O9" s="662"/>
      <c r="P9" s="662"/>
      <c r="Q9" s="662"/>
      <c r="R9" s="662"/>
      <c r="S9" s="662"/>
      <c r="T9" s="662"/>
      <c r="U9" s="662"/>
      <c r="V9" s="662"/>
      <c r="W9" s="662"/>
      <c r="X9" s="662"/>
      <c r="Y9" s="663"/>
      <c r="Z9" s="672"/>
      <c r="AA9" s="673"/>
      <c r="AB9" s="673"/>
      <c r="AC9" s="674"/>
      <c r="AD9" s="675"/>
      <c r="AE9" s="676"/>
      <c r="AF9" s="676"/>
      <c r="AG9" s="440"/>
      <c r="AH9" s="440"/>
      <c r="AI9" s="440"/>
      <c r="AJ9" s="652"/>
      <c r="AK9" s="677"/>
      <c r="AL9" s="441"/>
      <c r="AM9" s="675"/>
      <c r="AN9" s="676"/>
      <c r="AO9" s="676"/>
      <c r="AP9" s="440"/>
      <c r="AQ9" s="677"/>
    </row>
    <row r="10" spans="1:43" ht="24" x14ac:dyDescent="0.25">
      <c r="A10" s="670"/>
      <c r="B10" s="671" t="s">
        <v>389</v>
      </c>
      <c r="C10" s="661"/>
      <c r="D10" s="662"/>
      <c r="E10" s="662"/>
      <c r="F10" s="662"/>
      <c r="G10" s="662"/>
      <c r="H10" s="662"/>
      <c r="I10" s="662"/>
      <c r="J10" s="662"/>
      <c r="K10" s="662"/>
      <c r="L10" s="662"/>
      <c r="M10" s="662"/>
      <c r="N10" s="663"/>
      <c r="O10" s="662"/>
      <c r="P10" s="662"/>
      <c r="Q10" s="662"/>
      <c r="R10" s="662"/>
      <c r="S10" s="662"/>
      <c r="T10" s="662"/>
      <c r="U10" s="662"/>
      <c r="V10" s="662"/>
      <c r="W10" s="662"/>
      <c r="X10" s="662"/>
      <c r="Y10" s="663"/>
      <c r="Z10" s="672"/>
      <c r="AA10" s="673"/>
      <c r="AB10" s="673"/>
      <c r="AC10" s="674"/>
      <c r="AD10" s="675"/>
      <c r="AE10" s="676"/>
      <c r="AF10" s="676"/>
      <c r="AG10" s="440"/>
      <c r="AH10" s="440"/>
      <c r="AI10" s="440"/>
      <c r="AJ10" s="652"/>
      <c r="AK10" s="677"/>
      <c r="AL10" s="441"/>
      <c r="AM10" s="675"/>
      <c r="AN10" s="676"/>
      <c r="AO10" s="676"/>
      <c r="AP10" s="440"/>
      <c r="AQ10" s="677"/>
    </row>
    <row r="11" spans="1:43" ht="48" x14ac:dyDescent="0.25">
      <c r="A11" s="670"/>
      <c r="B11" s="671" t="s">
        <v>427</v>
      </c>
      <c r="C11" s="661"/>
      <c r="D11" s="662"/>
      <c r="E11" s="662"/>
      <c r="F11" s="662"/>
      <c r="G11" s="662"/>
      <c r="H11" s="662"/>
      <c r="I11" s="662"/>
      <c r="J11" s="662"/>
      <c r="K11" s="662"/>
      <c r="L11" s="662"/>
      <c r="M11" s="662"/>
      <c r="N11" s="663"/>
      <c r="O11" s="662"/>
      <c r="P11" s="662"/>
      <c r="Q11" s="662"/>
      <c r="R11" s="662"/>
      <c r="S11" s="662"/>
      <c r="T11" s="662"/>
      <c r="U11" s="662"/>
      <c r="V11" s="662"/>
      <c r="W11" s="662"/>
      <c r="X11" s="662"/>
      <c r="Y11" s="663"/>
      <c r="Z11" s="672"/>
      <c r="AA11" s="673"/>
      <c r="AB11" s="673"/>
      <c r="AC11" s="674"/>
      <c r="AD11" s="675"/>
      <c r="AE11" s="676"/>
      <c r="AF11" s="676"/>
      <c r="AG11" s="440"/>
      <c r="AH11" s="440"/>
      <c r="AI11" s="440"/>
      <c r="AJ11" s="652"/>
      <c r="AK11" s="677"/>
      <c r="AL11" s="441"/>
      <c r="AM11" s="675"/>
      <c r="AN11" s="676"/>
      <c r="AO11" s="676"/>
      <c r="AP11" s="440"/>
      <c r="AQ11" s="677"/>
    </row>
    <row r="12" spans="1:43" x14ac:dyDescent="0.25">
      <c r="A12" s="670"/>
      <c r="B12" s="671" t="s">
        <v>428</v>
      </c>
      <c r="C12" s="661"/>
      <c r="D12" s="662"/>
      <c r="E12" s="662"/>
      <c r="F12" s="662"/>
      <c r="G12" s="662"/>
      <c r="H12" s="662"/>
      <c r="I12" s="662"/>
      <c r="J12" s="662"/>
      <c r="K12" s="662"/>
      <c r="L12" s="662"/>
      <c r="M12" s="662"/>
      <c r="N12" s="663"/>
      <c r="O12" s="662"/>
      <c r="P12" s="662"/>
      <c r="Q12" s="662"/>
      <c r="R12" s="662"/>
      <c r="S12" s="662"/>
      <c r="T12" s="662"/>
      <c r="U12" s="662"/>
      <c r="V12" s="662"/>
      <c r="W12" s="662"/>
      <c r="X12" s="662"/>
      <c r="Y12" s="663"/>
      <c r="Z12" s="672"/>
      <c r="AA12" s="673"/>
      <c r="AB12" s="673"/>
      <c r="AC12" s="674"/>
      <c r="AD12" s="675"/>
      <c r="AE12" s="676"/>
      <c r="AF12" s="676"/>
      <c r="AG12" s="440"/>
      <c r="AH12" s="440"/>
      <c r="AI12" s="440"/>
      <c r="AJ12" s="652"/>
      <c r="AK12" s="677"/>
      <c r="AL12" s="441"/>
      <c r="AM12" s="675"/>
      <c r="AN12" s="676"/>
      <c r="AO12" s="676"/>
      <c r="AP12" s="440"/>
      <c r="AQ12" s="677"/>
    </row>
    <row r="13" spans="1:43" x14ac:dyDescent="0.25">
      <c r="A13" s="670"/>
      <c r="B13" s="671" t="s">
        <v>383</v>
      </c>
      <c r="C13" s="661"/>
      <c r="D13" s="662"/>
      <c r="E13" s="662"/>
      <c r="F13" s="662"/>
      <c r="G13" s="662"/>
      <c r="H13" s="662"/>
      <c r="I13" s="662"/>
      <c r="J13" s="662"/>
      <c r="K13" s="662"/>
      <c r="L13" s="662"/>
      <c r="M13" s="662"/>
      <c r="N13" s="663"/>
      <c r="O13" s="662"/>
      <c r="P13" s="662"/>
      <c r="Q13" s="662"/>
      <c r="R13" s="662"/>
      <c r="S13" s="662"/>
      <c r="T13" s="662"/>
      <c r="U13" s="662"/>
      <c r="V13" s="662"/>
      <c r="W13" s="662"/>
      <c r="X13" s="662"/>
      <c r="Y13" s="663"/>
      <c r="Z13" s="672"/>
      <c r="AA13" s="673"/>
      <c r="AB13" s="673"/>
      <c r="AC13" s="674"/>
      <c r="AD13" s="675"/>
      <c r="AE13" s="676"/>
      <c r="AF13" s="676"/>
      <c r="AG13" s="440"/>
      <c r="AH13" s="440"/>
      <c r="AI13" s="440"/>
      <c r="AJ13" s="652"/>
      <c r="AK13" s="677"/>
      <c r="AL13" s="441"/>
      <c r="AM13" s="675"/>
      <c r="AN13" s="676"/>
      <c r="AO13" s="676"/>
      <c r="AP13" s="440"/>
      <c r="AQ13" s="677"/>
    </row>
    <row r="14" spans="1:43" x14ac:dyDescent="0.25">
      <c r="A14" s="670"/>
      <c r="B14" s="671" t="s">
        <v>390</v>
      </c>
      <c r="C14" s="661"/>
      <c r="D14" s="662"/>
      <c r="E14" s="662"/>
      <c r="F14" s="662"/>
      <c r="G14" s="662"/>
      <c r="H14" s="662"/>
      <c r="I14" s="662"/>
      <c r="J14" s="662"/>
      <c r="K14" s="662"/>
      <c r="L14" s="662"/>
      <c r="M14" s="662"/>
      <c r="N14" s="663"/>
      <c r="O14" s="662"/>
      <c r="P14" s="662"/>
      <c r="Q14" s="662"/>
      <c r="R14" s="662"/>
      <c r="S14" s="662"/>
      <c r="T14" s="662"/>
      <c r="U14" s="662"/>
      <c r="V14" s="662"/>
      <c r="W14" s="662"/>
      <c r="X14" s="662"/>
      <c r="Y14" s="663"/>
      <c r="Z14" s="672"/>
      <c r="AA14" s="673"/>
      <c r="AB14" s="673"/>
      <c r="AC14" s="674"/>
      <c r="AD14" s="675"/>
      <c r="AE14" s="676"/>
      <c r="AF14" s="676"/>
      <c r="AG14" s="440"/>
      <c r="AH14" s="440"/>
      <c r="AI14" s="440"/>
      <c r="AJ14" s="652"/>
      <c r="AK14" s="677"/>
      <c r="AL14" s="441"/>
      <c r="AM14" s="675"/>
      <c r="AN14" s="676"/>
      <c r="AO14" s="676"/>
      <c r="AP14" s="440"/>
      <c r="AQ14" s="677"/>
    </row>
    <row r="15" spans="1:43" ht="60" x14ac:dyDescent="0.25">
      <c r="A15" s="670"/>
      <c r="B15" s="671" t="s">
        <v>384</v>
      </c>
      <c r="C15" s="661"/>
      <c r="D15" s="662"/>
      <c r="E15" s="662"/>
      <c r="F15" s="662"/>
      <c r="G15" s="662"/>
      <c r="H15" s="662"/>
      <c r="I15" s="662"/>
      <c r="J15" s="662"/>
      <c r="K15" s="662"/>
      <c r="L15" s="662"/>
      <c r="M15" s="662"/>
      <c r="N15" s="663"/>
      <c r="O15" s="662"/>
      <c r="P15" s="662"/>
      <c r="Q15" s="662"/>
      <c r="R15" s="662"/>
      <c r="S15" s="662"/>
      <c r="T15" s="662"/>
      <c r="U15" s="662"/>
      <c r="V15" s="662"/>
      <c r="W15" s="662"/>
      <c r="X15" s="662"/>
      <c r="Y15" s="663"/>
      <c r="Z15" s="672"/>
      <c r="AA15" s="673"/>
      <c r="AB15" s="673"/>
      <c r="AC15" s="674"/>
      <c r="AD15" s="675"/>
      <c r="AE15" s="676"/>
      <c r="AF15" s="676"/>
      <c r="AG15" s="440"/>
      <c r="AH15" s="440"/>
      <c r="AI15" s="440"/>
      <c r="AJ15" s="652"/>
      <c r="AK15" s="677"/>
      <c r="AL15" s="441"/>
      <c r="AM15" s="675"/>
      <c r="AN15" s="676"/>
      <c r="AO15" s="676"/>
      <c r="AP15" s="440"/>
      <c r="AQ15" s="677"/>
    </row>
    <row r="16" spans="1:43" x14ac:dyDescent="0.25">
      <c r="A16" s="670"/>
      <c r="B16" s="671" t="s">
        <v>391</v>
      </c>
      <c r="C16" s="661"/>
      <c r="D16" s="662"/>
      <c r="E16" s="662"/>
      <c r="F16" s="662"/>
      <c r="G16" s="662"/>
      <c r="H16" s="662"/>
      <c r="I16" s="662"/>
      <c r="J16" s="662"/>
      <c r="K16" s="662"/>
      <c r="L16" s="662"/>
      <c r="M16" s="662"/>
      <c r="N16" s="663"/>
      <c r="O16" s="662"/>
      <c r="P16" s="662"/>
      <c r="Q16" s="662"/>
      <c r="R16" s="662"/>
      <c r="S16" s="662"/>
      <c r="T16" s="662"/>
      <c r="U16" s="662"/>
      <c r="V16" s="662"/>
      <c r="W16" s="662"/>
      <c r="X16" s="662"/>
      <c r="Y16" s="663"/>
      <c r="Z16" s="672"/>
      <c r="AA16" s="673"/>
      <c r="AB16" s="673"/>
      <c r="AC16" s="674"/>
      <c r="AD16" s="675"/>
      <c r="AE16" s="676"/>
      <c r="AF16" s="676"/>
      <c r="AG16" s="440"/>
      <c r="AH16" s="440"/>
      <c r="AI16" s="440"/>
      <c r="AJ16" s="652"/>
      <c r="AK16" s="677"/>
      <c r="AL16" s="441"/>
      <c r="AM16" s="675"/>
      <c r="AN16" s="676"/>
      <c r="AO16" s="676"/>
      <c r="AP16" s="440"/>
      <c r="AQ16" s="677"/>
    </row>
    <row r="17" spans="1:43" x14ac:dyDescent="0.25">
      <c r="A17" s="670"/>
      <c r="B17" s="671" t="s">
        <v>385</v>
      </c>
      <c r="C17" s="661"/>
      <c r="D17" s="662"/>
      <c r="E17" s="662"/>
      <c r="F17" s="662"/>
      <c r="G17" s="662"/>
      <c r="H17" s="662"/>
      <c r="I17" s="662"/>
      <c r="J17" s="662"/>
      <c r="K17" s="662"/>
      <c r="L17" s="662"/>
      <c r="M17" s="662"/>
      <c r="N17" s="663"/>
      <c r="O17" s="662"/>
      <c r="P17" s="662"/>
      <c r="Q17" s="662"/>
      <c r="R17" s="662"/>
      <c r="S17" s="662"/>
      <c r="T17" s="662"/>
      <c r="U17" s="662"/>
      <c r="V17" s="662"/>
      <c r="W17" s="662"/>
      <c r="X17" s="662"/>
      <c r="Y17" s="663"/>
      <c r="Z17" s="672"/>
      <c r="AA17" s="673"/>
      <c r="AB17" s="673"/>
      <c r="AC17" s="674"/>
      <c r="AD17" s="675"/>
      <c r="AE17" s="676"/>
      <c r="AF17" s="676"/>
      <c r="AG17" s="440"/>
      <c r="AH17" s="440"/>
      <c r="AI17" s="440"/>
      <c r="AJ17" s="652"/>
      <c r="AK17" s="677"/>
      <c r="AL17" s="441"/>
      <c r="AM17" s="675"/>
      <c r="AN17" s="676"/>
      <c r="AO17" s="676"/>
      <c r="AP17" s="440"/>
      <c r="AQ17" s="677"/>
    </row>
    <row r="18" spans="1:43" x14ac:dyDescent="0.25">
      <c r="A18" s="670"/>
      <c r="B18" s="671" t="s">
        <v>392</v>
      </c>
      <c r="C18" s="661"/>
      <c r="D18" s="662"/>
      <c r="E18" s="662"/>
      <c r="F18" s="662"/>
      <c r="G18" s="662"/>
      <c r="H18" s="662"/>
      <c r="I18" s="662"/>
      <c r="J18" s="662"/>
      <c r="K18" s="662"/>
      <c r="L18" s="662"/>
      <c r="M18" s="662"/>
      <c r="N18" s="663"/>
      <c r="O18" s="662"/>
      <c r="P18" s="662"/>
      <c r="Q18" s="662"/>
      <c r="R18" s="662"/>
      <c r="S18" s="662"/>
      <c r="T18" s="662"/>
      <c r="U18" s="662"/>
      <c r="V18" s="662"/>
      <c r="W18" s="662"/>
      <c r="X18" s="662"/>
      <c r="Y18" s="663"/>
      <c r="Z18" s="672"/>
      <c r="AA18" s="673"/>
      <c r="AB18" s="673"/>
      <c r="AC18" s="674"/>
      <c r="AD18" s="675"/>
      <c r="AE18" s="676"/>
      <c r="AF18" s="676"/>
      <c r="AG18" s="440"/>
      <c r="AH18" s="440"/>
      <c r="AI18" s="440"/>
      <c r="AJ18" s="652"/>
      <c r="AK18" s="677"/>
      <c r="AL18" s="441"/>
      <c r="AM18" s="675"/>
      <c r="AN18" s="676"/>
      <c r="AO18" s="676"/>
      <c r="AP18" s="440"/>
      <c r="AQ18" s="677"/>
    </row>
    <row r="19" spans="1:43" ht="36" x14ac:dyDescent="0.25">
      <c r="A19" s="670"/>
      <c r="B19" s="671" t="s">
        <v>386</v>
      </c>
      <c r="C19" s="661"/>
      <c r="D19" s="662"/>
      <c r="E19" s="662"/>
      <c r="F19" s="662"/>
      <c r="G19" s="662"/>
      <c r="H19" s="662"/>
      <c r="I19" s="662"/>
      <c r="J19" s="662"/>
      <c r="K19" s="662"/>
      <c r="L19" s="662"/>
      <c r="M19" s="662"/>
      <c r="N19" s="663"/>
      <c r="O19" s="662"/>
      <c r="P19" s="662"/>
      <c r="Q19" s="662"/>
      <c r="R19" s="662"/>
      <c r="S19" s="662"/>
      <c r="T19" s="662"/>
      <c r="U19" s="662"/>
      <c r="V19" s="662"/>
      <c r="W19" s="662"/>
      <c r="X19" s="662"/>
      <c r="Y19" s="663"/>
      <c r="Z19" s="672"/>
      <c r="AA19" s="673"/>
      <c r="AB19" s="673"/>
      <c r="AC19" s="674"/>
      <c r="AD19" s="675"/>
      <c r="AE19" s="676"/>
      <c r="AF19" s="676"/>
      <c r="AG19" s="440"/>
      <c r="AH19" s="440"/>
      <c r="AI19" s="440"/>
      <c r="AJ19" s="652"/>
      <c r="AK19" s="677"/>
      <c r="AL19" s="441"/>
      <c r="AM19" s="675"/>
      <c r="AN19" s="676"/>
      <c r="AO19" s="676"/>
      <c r="AP19" s="440"/>
      <c r="AQ19" s="677"/>
    </row>
    <row r="20" spans="1:43" x14ac:dyDescent="0.25">
      <c r="A20" s="670"/>
      <c r="B20" s="671" t="s">
        <v>393</v>
      </c>
      <c r="C20" s="661"/>
      <c r="D20" s="662"/>
      <c r="E20" s="662"/>
      <c r="F20" s="662"/>
      <c r="G20" s="662"/>
      <c r="H20" s="662"/>
      <c r="I20" s="662"/>
      <c r="J20" s="662"/>
      <c r="K20" s="662"/>
      <c r="L20" s="662"/>
      <c r="M20" s="662"/>
      <c r="N20" s="663"/>
      <c r="O20" s="662"/>
      <c r="P20" s="662"/>
      <c r="Q20" s="662"/>
      <c r="R20" s="662"/>
      <c r="S20" s="662"/>
      <c r="T20" s="662"/>
      <c r="U20" s="662"/>
      <c r="V20" s="662"/>
      <c r="W20" s="662"/>
      <c r="X20" s="662"/>
      <c r="Y20" s="663"/>
      <c r="Z20" s="672"/>
      <c r="AA20" s="673"/>
      <c r="AB20" s="673"/>
      <c r="AC20" s="674"/>
      <c r="AD20" s="675"/>
      <c r="AE20" s="676"/>
      <c r="AF20" s="676"/>
      <c r="AG20" s="440"/>
      <c r="AH20" s="440"/>
      <c r="AI20" s="440"/>
      <c r="AJ20" s="652"/>
      <c r="AK20" s="677"/>
      <c r="AL20" s="441"/>
      <c r="AM20" s="675"/>
      <c r="AN20" s="676"/>
      <c r="AO20" s="676"/>
      <c r="AP20" s="440"/>
      <c r="AQ20" s="677"/>
    </row>
    <row r="21" spans="1:43" x14ac:dyDescent="0.25">
      <c r="A21" s="670"/>
      <c r="B21" s="671" t="s">
        <v>394</v>
      </c>
      <c r="C21" s="661"/>
      <c r="D21" s="662"/>
      <c r="E21" s="662"/>
      <c r="F21" s="662"/>
      <c r="G21" s="662"/>
      <c r="H21" s="662"/>
      <c r="I21" s="662"/>
      <c r="J21" s="662"/>
      <c r="K21" s="662"/>
      <c r="L21" s="662"/>
      <c r="M21" s="662"/>
      <c r="N21" s="663"/>
      <c r="O21" s="662"/>
      <c r="P21" s="662"/>
      <c r="Q21" s="662"/>
      <c r="R21" s="662"/>
      <c r="S21" s="662"/>
      <c r="T21" s="662"/>
      <c r="U21" s="662"/>
      <c r="V21" s="662"/>
      <c r="W21" s="662"/>
      <c r="X21" s="662"/>
      <c r="Y21" s="663"/>
      <c r="Z21" s="672"/>
      <c r="AA21" s="673"/>
      <c r="AB21" s="673"/>
      <c r="AC21" s="674"/>
      <c r="AD21" s="675"/>
      <c r="AE21" s="676"/>
      <c r="AF21" s="676"/>
      <c r="AG21" s="440"/>
      <c r="AH21" s="440"/>
      <c r="AI21" s="440"/>
      <c r="AJ21" s="652"/>
      <c r="AK21" s="677"/>
      <c r="AL21" s="441"/>
      <c r="AM21" s="675"/>
      <c r="AN21" s="676"/>
      <c r="AO21" s="676"/>
      <c r="AP21" s="440"/>
      <c r="AQ21" s="677"/>
    </row>
    <row r="22" spans="1:43" ht="24" x14ac:dyDescent="0.25">
      <c r="A22" s="670"/>
      <c r="B22" s="671" t="s">
        <v>395</v>
      </c>
      <c r="C22" s="661"/>
      <c r="D22" s="662"/>
      <c r="E22" s="662"/>
      <c r="F22" s="662"/>
      <c r="G22" s="662"/>
      <c r="H22" s="662"/>
      <c r="I22" s="662"/>
      <c r="J22" s="662"/>
      <c r="K22" s="662"/>
      <c r="L22" s="662"/>
      <c r="M22" s="662"/>
      <c r="N22" s="663"/>
      <c r="O22" s="662"/>
      <c r="P22" s="662"/>
      <c r="Q22" s="662"/>
      <c r="R22" s="662"/>
      <c r="S22" s="662"/>
      <c r="T22" s="662"/>
      <c r="U22" s="662"/>
      <c r="V22" s="662"/>
      <c r="W22" s="662"/>
      <c r="X22" s="662"/>
      <c r="Y22" s="663"/>
      <c r="Z22" s="672"/>
      <c r="AA22" s="673"/>
      <c r="AB22" s="673"/>
      <c r="AC22" s="674"/>
      <c r="AD22" s="675"/>
      <c r="AE22" s="676"/>
      <c r="AF22" s="676"/>
      <c r="AG22" s="440"/>
      <c r="AH22" s="440"/>
      <c r="AI22" s="440"/>
      <c r="AJ22" s="652"/>
      <c r="AK22" s="677"/>
      <c r="AL22" s="441"/>
      <c r="AM22" s="675"/>
      <c r="AN22" s="676"/>
      <c r="AO22" s="676"/>
      <c r="AP22" s="440"/>
      <c r="AQ22" s="677"/>
    </row>
    <row r="23" spans="1:43" x14ac:dyDescent="0.25">
      <c r="A23" s="670"/>
      <c r="B23" s="671" t="s">
        <v>396</v>
      </c>
      <c r="C23" s="661"/>
      <c r="D23" s="662"/>
      <c r="E23" s="662"/>
      <c r="F23" s="662"/>
      <c r="G23" s="662"/>
      <c r="H23" s="662"/>
      <c r="I23" s="662"/>
      <c r="J23" s="662"/>
      <c r="K23" s="662"/>
      <c r="L23" s="662"/>
      <c r="M23" s="662"/>
      <c r="N23" s="663"/>
      <c r="O23" s="662"/>
      <c r="P23" s="662"/>
      <c r="Q23" s="662"/>
      <c r="R23" s="662"/>
      <c r="S23" s="662"/>
      <c r="T23" s="662"/>
      <c r="U23" s="662"/>
      <c r="V23" s="662"/>
      <c r="W23" s="662"/>
      <c r="X23" s="662"/>
      <c r="Y23" s="663"/>
      <c r="Z23" s="672"/>
      <c r="AA23" s="673"/>
      <c r="AB23" s="673"/>
      <c r="AC23" s="674"/>
      <c r="AD23" s="675"/>
      <c r="AE23" s="676"/>
      <c r="AF23" s="676"/>
      <c r="AG23" s="440"/>
      <c r="AH23" s="440"/>
      <c r="AI23" s="440"/>
      <c r="AJ23" s="652"/>
      <c r="AK23" s="677"/>
      <c r="AL23" s="441"/>
      <c r="AM23" s="675"/>
      <c r="AN23" s="676"/>
      <c r="AO23" s="676"/>
      <c r="AP23" s="440"/>
      <c r="AQ23" s="677"/>
    </row>
    <row r="24" spans="1:43" ht="48" x14ac:dyDescent="0.25">
      <c r="A24" s="670"/>
      <c r="B24" s="671" t="s">
        <v>430</v>
      </c>
      <c r="C24" s="661"/>
      <c r="D24" s="662"/>
      <c r="E24" s="662"/>
      <c r="F24" s="662"/>
      <c r="G24" s="662"/>
      <c r="H24" s="662"/>
      <c r="I24" s="662"/>
      <c r="J24" s="662"/>
      <c r="K24" s="662"/>
      <c r="L24" s="662"/>
      <c r="M24" s="662"/>
      <c r="N24" s="663"/>
      <c r="O24" s="662"/>
      <c r="P24" s="662"/>
      <c r="Q24" s="662"/>
      <c r="R24" s="662"/>
      <c r="S24" s="662"/>
      <c r="T24" s="662"/>
      <c r="U24" s="662"/>
      <c r="V24" s="662"/>
      <c r="W24" s="662"/>
      <c r="X24" s="662"/>
      <c r="Y24" s="663"/>
      <c r="Z24" s="672"/>
      <c r="AA24" s="673"/>
      <c r="AB24" s="673"/>
      <c r="AC24" s="674"/>
      <c r="AD24" s="675"/>
      <c r="AE24" s="676"/>
      <c r="AF24" s="676"/>
      <c r="AG24" s="440"/>
      <c r="AH24" s="440"/>
      <c r="AI24" s="440"/>
      <c r="AJ24" s="652"/>
      <c r="AK24" s="677"/>
      <c r="AL24" s="441"/>
      <c r="AM24" s="675"/>
      <c r="AN24" s="676"/>
      <c r="AO24" s="676"/>
      <c r="AP24" s="440"/>
      <c r="AQ24" s="677"/>
    </row>
    <row r="25" spans="1:43" x14ac:dyDescent="0.25">
      <c r="A25" s="670"/>
      <c r="B25" s="671" t="s">
        <v>397</v>
      </c>
      <c r="C25" s="661"/>
      <c r="D25" s="662"/>
      <c r="E25" s="662"/>
      <c r="F25" s="662"/>
      <c r="G25" s="662"/>
      <c r="H25" s="662"/>
      <c r="I25" s="662"/>
      <c r="J25" s="662"/>
      <c r="K25" s="662"/>
      <c r="L25" s="662"/>
      <c r="M25" s="662"/>
      <c r="N25" s="663"/>
      <c r="O25" s="662"/>
      <c r="P25" s="662"/>
      <c r="Q25" s="662"/>
      <c r="R25" s="662"/>
      <c r="S25" s="662"/>
      <c r="T25" s="662"/>
      <c r="U25" s="662"/>
      <c r="V25" s="662"/>
      <c r="W25" s="662"/>
      <c r="X25" s="662"/>
      <c r="Y25" s="663"/>
      <c r="Z25" s="672"/>
      <c r="AA25" s="673"/>
      <c r="AB25" s="673"/>
      <c r="AC25" s="674"/>
      <c r="AD25" s="675"/>
      <c r="AE25" s="676"/>
      <c r="AF25" s="676"/>
      <c r="AG25" s="440"/>
      <c r="AH25" s="440"/>
      <c r="AI25" s="440"/>
      <c r="AJ25" s="652"/>
      <c r="AK25" s="677"/>
      <c r="AL25" s="441"/>
      <c r="AM25" s="675"/>
      <c r="AN25" s="676"/>
      <c r="AO25" s="676"/>
      <c r="AP25" s="440"/>
      <c r="AQ25" s="677"/>
    </row>
    <row r="26" spans="1:43" ht="36" x14ac:dyDescent="0.25">
      <c r="A26" s="670"/>
      <c r="B26" s="671" t="s">
        <v>398</v>
      </c>
      <c r="C26" s="661"/>
      <c r="D26" s="662"/>
      <c r="E26" s="662"/>
      <c r="F26" s="662"/>
      <c r="G26" s="662"/>
      <c r="H26" s="662"/>
      <c r="I26" s="662"/>
      <c r="J26" s="662"/>
      <c r="K26" s="662"/>
      <c r="L26" s="662"/>
      <c r="M26" s="662"/>
      <c r="N26" s="663"/>
      <c r="O26" s="662"/>
      <c r="P26" s="662"/>
      <c r="Q26" s="662"/>
      <c r="R26" s="662"/>
      <c r="S26" s="662"/>
      <c r="T26" s="662"/>
      <c r="U26" s="662"/>
      <c r="V26" s="662"/>
      <c r="W26" s="662"/>
      <c r="X26" s="662"/>
      <c r="Y26" s="663"/>
      <c r="Z26" s="672"/>
      <c r="AA26" s="673"/>
      <c r="AB26" s="673"/>
      <c r="AC26" s="674"/>
      <c r="AD26" s="675"/>
      <c r="AE26" s="676"/>
      <c r="AF26" s="676"/>
      <c r="AG26" s="440"/>
      <c r="AH26" s="440"/>
      <c r="AI26" s="440"/>
      <c r="AJ26" s="652"/>
      <c r="AK26" s="677"/>
      <c r="AL26" s="441"/>
      <c r="AM26" s="675"/>
      <c r="AN26" s="676"/>
      <c r="AO26" s="676"/>
      <c r="AP26" s="440"/>
      <c r="AQ26" s="677"/>
    </row>
    <row r="27" spans="1:43" x14ac:dyDescent="0.25">
      <c r="A27" s="670"/>
      <c r="B27" s="671" t="s">
        <v>399</v>
      </c>
      <c r="C27" s="661"/>
      <c r="D27" s="662"/>
      <c r="E27" s="662"/>
      <c r="F27" s="662"/>
      <c r="G27" s="662"/>
      <c r="H27" s="662"/>
      <c r="I27" s="662"/>
      <c r="J27" s="662"/>
      <c r="K27" s="662"/>
      <c r="L27" s="662"/>
      <c r="M27" s="662"/>
      <c r="N27" s="663"/>
      <c r="O27" s="662"/>
      <c r="P27" s="662"/>
      <c r="Q27" s="662"/>
      <c r="R27" s="662"/>
      <c r="S27" s="662"/>
      <c r="T27" s="662"/>
      <c r="U27" s="662"/>
      <c r="V27" s="662"/>
      <c r="W27" s="662"/>
      <c r="X27" s="662"/>
      <c r="Y27" s="663"/>
      <c r="Z27" s="672"/>
      <c r="AA27" s="673"/>
      <c r="AB27" s="673"/>
      <c r="AC27" s="674"/>
      <c r="AD27" s="675"/>
      <c r="AE27" s="676"/>
      <c r="AF27" s="676"/>
      <c r="AG27" s="440"/>
      <c r="AH27" s="440"/>
      <c r="AI27" s="440"/>
      <c r="AJ27" s="652"/>
      <c r="AK27" s="677"/>
      <c r="AL27" s="441"/>
      <c r="AM27" s="675"/>
      <c r="AN27" s="676"/>
      <c r="AO27" s="676"/>
      <c r="AP27" s="440"/>
      <c r="AQ27" s="677"/>
    </row>
    <row r="28" spans="1:43" x14ac:dyDescent="0.25">
      <c r="A28" s="670"/>
      <c r="B28" s="671" t="s">
        <v>400</v>
      </c>
      <c r="C28" s="661"/>
      <c r="D28" s="662"/>
      <c r="E28" s="662"/>
      <c r="F28" s="662"/>
      <c r="G28" s="662"/>
      <c r="H28" s="662"/>
      <c r="I28" s="662"/>
      <c r="J28" s="662"/>
      <c r="K28" s="662"/>
      <c r="L28" s="662"/>
      <c r="M28" s="662"/>
      <c r="N28" s="663"/>
      <c r="O28" s="662"/>
      <c r="P28" s="662"/>
      <c r="Q28" s="662"/>
      <c r="R28" s="662"/>
      <c r="S28" s="662"/>
      <c r="T28" s="662"/>
      <c r="U28" s="662"/>
      <c r="V28" s="662"/>
      <c r="W28" s="662"/>
      <c r="X28" s="662"/>
      <c r="Y28" s="663"/>
      <c r="Z28" s="672"/>
      <c r="AA28" s="673"/>
      <c r="AB28" s="673"/>
      <c r="AC28" s="674"/>
      <c r="AD28" s="675"/>
      <c r="AE28" s="676"/>
      <c r="AF28" s="676"/>
      <c r="AG28" s="440"/>
      <c r="AH28" s="440"/>
      <c r="AI28" s="440"/>
      <c r="AJ28" s="652"/>
      <c r="AK28" s="677"/>
      <c r="AL28" s="441"/>
      <c r="AM28" s="675"/>
      <c r="AN28" s="676"/>
      <c r="AO28" s="676"/>
      <c r="AP28" s="440"/>
      <c r="AQ28" s="677"/>
    </row>
    <row r="29" spans="1:43" x14ac:dyDescent="0.25">
      <c r="A29" s="670"/>
      <c r="B29" s="671" t="s">
        <v>401</v>
      </c>
      <c r="C29" s="661"/>
      <c r="D29" s="662"/>
      <c r="E29" s="662"/>
      <c r="F29" s="662"/>
      <c r="G29" s="662"/>
      <c r="H29" s="662"/>
      <c r="I29" s="662"/>
      <c r="J29" s="662"/>
      <c r="K29" s="662"/>
      <c r="L29" s="662"/>
      <c r="M29" s="662"/>
      <c r="N29" s="663"/>
      <c r="O29" s="662"/>
      <c r="P29" s="662"/>
      <c r="Q29" s="662"/>
      <c r="R29" s="662"/>
      <c r="S29" s="662"/>
      <c r="T29" s="662"/>
      <c r="U29" s="662"/>
      <c r="V29" s="662"/>
      <c r="W29" s="662"/>
      <c r="X29" s="662"/>
      <c r="Y29" s="663"/>
      <c r="Z29" s="672"/>
      <c r="AA29" s="673"/>
      <c r="AB29" s="673"/>
      <c r="AC29" s="674"/>
      <c r="AD29" s="675"/>
      <c r="AE29" s="676"/>
      <c r="AF29" s="676"/>
      <c r="AG29" s="440"/>
      <c r="AH29" s="440"/>
      <c r="AI29" s="440"/>
      <c r="AJ29" s="652"/>
      <c r="AK29" s="677"/>
      <c r="AL29" s="441"/>
      <c r="AM29" s="675"/>
      <c r="AN29" s="676"/>
      <c r="AO29" s="676"/>
      <c r="AP29" s="440"/>
      <c r="AQ29" s="677"/>
    </row>
    <row r="30" spans="1:43" ht="36" x14ac:dyDescent="0.25">
      <c r="A30" s="670"/>
      <c r="B30" s="671" t="s">
        <v>475</v>
      </c>
      <c r="C30" s="661"/>
      <c r="D30" s="662"/>
      <c r="E30" s="662"/>
      <c r="F30" s="662"/>
      <c r="G30" s="662"/>
      <c r="H30" s="662"/>
      <c r="I30" s="662"/>
      <c r="J30" s="662"/>
      <c r="K30" s="662"/>
      <c r="L30" s="662"/>
      <c r="M30" s="662"/>
      <c r="N30" s="663"/>
      <c r="O30" s="662"/>
      <c r="P30" s="662"/>
      <c r="Q30" s="662"/>
      <c r="R30" s="662"/>
      <c r="S30" s="662"/>
      <c r="T30" s="662"/>
      <c r="U30" s="662"/>
      <c r="V30" s="662"/>
      <c r="W30" s="662"/>
      <c r="X30" s="662"/>
      <c r="Y30" s="663"/>
      <c r="Z30" s="672"/>
      <c r="AA30" s="673"/>
      <c r="AB30" s="673"/>
      <c r="AC30" s="674"/>
      <c r="AD30" s="675"/>
      <c r="AE30" s="676"/>
      <c r="AF30" s="676"/>
      <c r="AG30" s="440"/>
      <c r="AH30" s="440"/>
      <c r="AI30" s="440"/>
      <c r="AJ30" s="652"/>
      <c r="AK30" s="677"/>
      <c r="AL30" s="441"/>
      <c r="AM30" s="675"/>
      <c r="AN30" s="676"/>
      <c r="AO30" s="676"/>
      <c r="AP30" s="440"/>
      <c r="AQ30" s="677"/>
    </row>
    <row r="31" spans="1:43" x14ac:dyDescent="0.25">
      <c r="A31" s="670"/>
      <c r="B31" s="671" t="s">
        <v>431</v>
      </c>
      <c r="C31" s="661"/>
      <c r="D31" s="662"/>
      <c r="E31" s="662"/>
      <c r="F31" s="662"/>
      <c r="G31" s="662"/>
      <c r="H31" s="662"/>
      <c r="I31" s="662"/>
      <c r="J31" s="662"/>
      <c r="K31" s="662"/>
      <c r="L31" s="662"/>
      <c r="M31" s="662"/>
      <c r="N31" s="663"/>
      <c r="O31" s="662"/>
      <c r="P31" s="662"/>
      <c r="Q31" s="662"/>
      <c r="R31" s="662"/>
      <c r="S31" s="662"/>
      <c r="T31" s="662"/>
      <c r="U31" s="662"/>
      <c r="V31" s="662"/>
      <c r="W31" s="662"/>
      <c r="X31" s="662"/>
      <c r="Y31" s="663"/>
      <c r="Z31" s="672"/>
      <c r="AA31" s="673"/>
      <c r="AB31" s="673"/>
      <c r="AC31" s="674"/>
      <c r="AD31" s="675"/>
      <c r="AE31" s="676"/>
      <c r="AF31" s="676"/>
      <c r="AG31" s="440"/>
      <c r="AH31" s="440"/>
      <c r="AI31" s="440"/>
      <c r="AJ31" s="652"/>
      <c r="AK31" s="677"/>
      <c r="AL31" s="441"/>
      <c r="AM31" s="675"/>
      <c r="AN31" s="676"/>
      <c r="AO31" s="676"/>
      <c r="AP31" s="440"/>
      <c r="AQ31" s="677"/>
    </row>
    <row r="32" spans="1:43" ht="24" x14ac:dyDescent="0.25">
      <c r="A32" s="670"/>
      <c r="B32" s="671" t="s">
        <v>476</v>
      </c>
      <c r="C32" s="661"/>
      <c r="D32" s="662"/>
      <c r="E32" s="662"/>
      <c r="F32" s="662"/>
      <c r="G32" s="662"/>
      <c r="H32" s="662"/>
      <c r="I32" s="662"/>
      <c r="J32" s="662"/>
      <c r="K32" s="662"/>
      <c r="L32" s="662"/>
      <c r="M32" s="662"/>
      <c r="N32" s="663"/>
      <c r="O32" s="662"/>
      <c r="P32" s="662"/>
      <c r="Q32" s="662"/>
      <c r="R32" s="662"/>
      <c r="S32" s="662"/>
      <c r="T32" s="662"/>
      <c r="U32" s="662"/>
      <c r="V32" s="662"/>
      <c r="W32" s="662"/>
      <c r="X32" s="662"/>
      <c r="Y32" s="663"/>
      <c r="Z32" s="672"/>
      <c r="AA32" s="673"/>
      <c r="AB32" s="673"/>
      <c r="AC32" s="674"/>
      <c r="AD32" s="675"/>
      <c r="AE32" s="676"/>
      <c r="AF32" s="676"/>
      <c r="AG32" s="440"/>
      <c r="AH32" s="440"/>
      <c r="AI32" s="440"/>
      <c r="AJ32" s="652"/>
      <c r="AK32" s="677"/>
      <c r="AL32" s="441"/>
      <c r="AM32" s="675"/>
      <c r="AN32" s="676"/>
      <c r="AO32" s="676"/>
      <c r="AP32" s="440"/>
      <c r="AQ32" s="677"/>
    </row>
    <row r="33" spans="1:43" ht="48" x14ac:dyDescent="0.25">
      <c r="A33" s="670"/>
      <c r="B33" s="671" t="s">
        <v>404</v>
      </c>
      <c r="C33" s="661"/>
      <c r="D33" s="662"/>
      <c r="E33" s="662"/>
      <c r="F33" s="662"/>
      <c r="G33" s="662"/>
      <c r="H33" s="662"/>
      <c r="I33" s="662"/>
      <c r="J33" s="662"/>
      <c r="K33" s="662"/>
      <c r="L33" s="662"/>
      <c r="M33" s="662"/>
      <c r="N33" s="663"/>
      <c r="O33" s="662"/>
      <c r="P33" s="662"/>
      <c r="Q33" s="662"/>
      <c r="R33" s="662"/>
      <c r="S33" s="662"/>
      <c r="T33" s="662"/>
      <c r="U33" s="662"/>
      <c r="V33" s="662"/>
      <c r="W33" s="662"/>
      <c r="X33" s="662"/>
      <c r="Y33" s="663"/>
      <c r="Z33" s="672"/>
      <c r="AA33" s="673"/>
      <c r="AB33" s="673"/>
      <c r="AC33" s="674"/>
      <c r="AD33" s="675"/>
      <c r="AE33" s="676"/>
      <c r="AF33" s="676"/>
      <c r="AG33" s="440"/>
      <c r="AH33" s="440"/>
      <c r="AI33" s="440"/>
      <c r="AJ33" s="652"/>
      <c r="AK33" s="677"/>
      <c r="AL33" s="441"/>
      <c r="AM33" s="675"/>
      <c r="AN33" s="676"/>
      <c r="AO33" s="676"/>
      <c r="AP33" s="440"/>
      <c r="AQ33" s="677"/>
    </row>
    <row r="34" spans="1:43" ht="24" x14ac:dyDescent="0.25">
      <c r="A34" s="670"/>
      <c r="B34" s="671" t="s">
        <v>477</v>
      </c>
      <c r="C34" s="661"/>
      <c r="D34" s="662"/>
      <c r="E34" s="662"/>
      <c r="F34" s="662"/>
      <c r="G34" s="662"/>
      <c r="H34" s="662"/>
      <c r="I34" s="662"/>
      <c r="J34" s="662"/>
      <c r="K34" s="662"/>
      <c r="L34" s="662"/>
      <c r="M34" s="662"/>
      <c r="N34" s="663"/>
      <c r="O34" s="662"/>
      <c r="P34" s="662"/>
      <c r="Q34" s="662"/>
      <c r="R34" s="662"/>
      <c r="S34" s="662"/>
      <c r="T34" s="662"/>
      <c r="U34" s="662"/>
      <c r="V34" s="662"/>
      <c r="W34" s="662"/>
      <c r="X34" s="662"/>
      <c r="Y34" s="663"/>
      <c r="Z34" s="672"/>
      <c r="AA34" s="673"/>
      <c r="AB34" s="673"/>
      <c r="AC34" s="674"/>
      <c r="AD34" s="675"/>
      <c r="AE34" s="676"/>
      <c r="AF34" s="676"/>
      <c r="AG34" s="440"/>
      <c r="AH34" s="440"/>
      <c r="AI34" s="440"/>
      <c r="AJ34" s="652"/>
      <c r="AK34" s="677"/>
      <c r="AL34" s="441"/>
      <c r="AM34" s="675"/>
      <c r="AN34" s="676"/>
      <c r="AO34" s="676"/>
      <c r="AP34" s="440"/>
      <c r="AQ34" s="677"/>
    </row>
    <row r="35" spans="1:43" ht="48" x14ac:dyDescent="0.25">
      <c r="A35" s="670"/>
      <c r="B35" s="671" t="s">
        <v>478</v>
      </c>
      <c r="C35" s="661"/>
      <c r="D35" s="662"/>
      <c r="E35" s="662"/>
      <c r="F35" s="662"/>
      <c r="G35" s="662"/>
      <c r="H35" s="662"/>
      <c r="I35" s="662"/>
      <c r="J35" s="662"/>
      <c r="K35" s="662"/>
      <c r="L35" s="662"/>
      <c r="M35" s="662"/>
      <c r="N35" s="663"/>
      <c r="O35" s="662"/>
      <c r="P35" s="662"/>
      <c r="Q35" s="662"/>
      <c r="R35" s="662"/>
      <c r="S35" s="662"/>
      <c r="T35" s="662"/>
      <c r="U35" s="662"/>
      <c r="V35" s="662"/>
      <c r="W35" s="662"/>
      <c r="X35" s="662"/>
      <c r="Y35" s="663"/>
      <c r="Z35" s="672"/>
      <c r="AA35" s="673"/>
      <c r="AB35" s="673"/>
      <c r="AC35" s="674"/>
      <c r="AD35" s="675"/>
      <c r="AE35" s="676"/>
      <c r="AF35" s="676"/>
      <c r="AG35" s="440"/>
      <c r="AH35" s="440"/>
      <c r="AI35" s="440"/>
      <c r="AJ35" s="652"/>
      <c r="AK35" s="677"/>
      <c r="AL35" s="441"/>
      <c r="AM35" s="675"/>
      <c r="AN35" s="676"/>
      <c r="AO35" s="676"/>
      <c r="AP35" s="440"/>
      <c r="AQ35" s="677"/>
    </row>
    <row r="36" spans="1:43" x14ac:dyDescent="0.25">
      <c r="A36" s="670"/>
      <c r="B36" s="671" t="s">
        <v>480</v>
      </c>
      <c r="C36" s="661"/>
      <c r="D36" s="662"/>
      <c r="E36" s="662"/>
      <c r="F36" s="662"/>
      <c r="G36" s="662"/>
      <c r="H36" s="662"/>
      <c r="I36" s="662"/>
      <c r="J36" s="662"/>
      <c r="K36" s="662"/>
      <c r="L36" s="662"/>
      <c r="M36" s="662"/>
      <c r="N36" s="663"/>
      <c r="O36" s="662"/>
      <c r="P36" s="662"/>
      <c r="Q36" s="662"/>
      <c r="R36" s="662"/>
      <c r="S36" s="662"/>
      <c r="T36" s="662"/>
      <c r="U36" s="662"/>
      <c r="V36" s="662"/>
      <c r="W36" s="662"/>
      <c r="X36" s="662"/>
      <c r="Y36" s="663"/>
      <c r="Z36" s="672"/>
      <c r="AA36" s="673"/>
      <c r="AB36" s="673"/>
      <c r="AC36" s="674"/>
      <c r="AD36" s="675"/>
      <c r="AE36" s="676"/>
      <c r="AF36" s="676"/>
      <c r="AG36" s="440"/>
      <c r="AH36" s="440"/>
      <c r="AI36" s="440"/>
      <c r="AJ36" s="652"/>
      <c r="AK36" s="677"/>
      <c r="AL36" s="441"/>
      <c r="AM36" s="675"/>
      <c r="AN36" s="676"/>
      <c r="AO36" s="676"/>
      <c r="AP36" s="440"/>
      <c r="AQ36" s="677"/>
    </row>
    <row r="37" spans="1:43" ht="36" x14ac:dyDescent="0.25">
      <c r="A37" s="670"/>
      <c r="B37" s="671" t="s">
        <v>479</v>
      </c>
      <c r="C37" s="661"/>
      <c r="D37" s="662"/>
      <c r="E37" s="662"/>
      <c r="F37" s="662"/>
      <c r="G37" s="662"/>
      <c r="H37" s="662"/>
      <c r="I37" s="662"/>
      <c r="J37" s="662"/>
      <c r="K37" s="662"/>
      <c r="L37" s="662"/>
      <c r="M37" s="662"/>
      <c r="N37" s="663"/>
      <c r="O37" s="662"/>
      <c r="P37" s="662"/>
      <c r="Q37" s="662"/>
      <c r="R37" s="662"/>
      <c r="S37" s="662"/>
      <c r="T37" s="662"/>
      <c r="U37" s="662"/>
      <c r="V37" s="662"/>
      <c r="W37" s="662"/>
      <c r="X37" s="662"/>
      <c r="Y37" s="663"/>
      <c r="Z37" s="672"/>
      <c r="AA37" s="673"/>
      <c r="AB37" s="673"/>
      <c r="AC37" s="674"/>
      <c r="AD37" s="675"/>
      <c r="AE37" s="676"/>
      <c r="AF37" s="676"/>
      <c r="AG37" s="440"/>
      <c r="AH37" s="440"/>
      <c r="AI37" s="440"/>
      <c r="AJ37" s="652"/>
      <c r="AK37" s="677"/>
      <c r="AL37" s="441"/>
      <c r="AM37" s="675"/>
      <c r="AN37" s="676"/>
      <c r="AO37" s="676"/>
      <c r="AP37" s="440"/>
      <c r="AQ37" s="677"/>
    </row>
    <row r="38" spans="1:43" x14ac:dyDescent="0.25">
      <c r="A38" s="670"/>
      <c r="B38" s="671" t="s">
        <v>405</v>
      </c>
      <c r="C38" s="661"/>
      <c r="D38" s="662"/>
      <c r="E38" s="662"/>
      <c r="F38" s="662"/>
      <c r="G38" s="662"/>
      <c r="H38" s="662"/>
      <c r="I38" s="662"/>
      <c r="J38" s="662"/>
      <c r="K38" s="662"/>
      <c r="L38" s="662"/>
      <c r="M38" s="662"/>
      <c r="N38" s="663"/>
      <c r="O38" s="662"/>
      <c r="P38" s="662"/>
      <c r="Q38" s="662"/>
      <c r="R38" s="662"/>
      <c r="S38" s="662"/>
      <c r="T38" s="662"/>
      <c r="U38" s="662"/>
      <c r="V38" s="662"/>
      <c r="W38" s="662"/>
      <c r="X38" s="662"/>
      <c r="Y38" s="663"/>
      <c r="Z38" s="672"/>
      <c r="AA38" s="673"/>
      <c r="AB38" s="673"/>
      <c r="AC38" s="674"/>
      <c r="AD38" s="675"/>
      <c r="AE38" s="676"/>
      <c r="AF38" s="676"/>
      <c r="AG38" s="440"/>
      <c r="AH38" s="440"/>
      <c r="AI38" s="440"/>
      <c r="AJ38" s="652"/>
      <c r="AK38" s="677"/>
      <c r="AL38" s="441"/>
      <c r="AM38" s="675"/>
      <c r="AN38" s="676"/>
      <c r="AO38" s="676"/>
      <c r="AP38" s="440"/>
      <c r="AQ38" s="677"/>
    </row>
    <row r="39" spans="1:43" x14ac:dyDescent="0.25">
      <c r="A39" s="670"/>
      <c r="B39" s="671" t="s">
        <v>432</v>
      </c>
      <c r="C39" s="661"/>
      <c r="D39" s="662"/>
      <c r="E39" s="662"/>
      <c r="F39" s="662"/>
      <c r="G39" s="662"/>
      <c r="H39" s="662"/>
      <c r="I39" s="662"/>
      <c r="J39" s="662"/>
      <c r="K39" s="662"/>
      <c r="L39" s="662"/>
      <c r="M39" s="662"/>
      <c r="N39" s="663"/>
      <c r="O39" s="662"/>
      <c r="P39" s="662"/>
      <c r="Q39" s="662"/>
      <c r="R39" s="662"/>
      <c r="S39" s="662"/>
      <c r="T39" s="662"/>
      <c r="U39" s="662"/>
      <c r="V39" s="662"/>
      <c r="W39" s="662"/>
      <c r="X39" s="662"/>
      <c r="Y39" s="663"/>
      <c r="Z39" s="672"/>
      <c r="AA39" s="673"/>
      <c r="AB39" s="673"/>
      <c r="AC39" s="674"/>
      <c r="AD39" s="675"/>
      <c r="AE39" s="676"/>
      <c r="AF39" s="676"/>
      <c r="AG39" s="440"/>
      <c r="AH39" s="440"/>
      <c r="AI39" s="440"/>
      <c r="AJ39" s="652"/>
      <c r="AK39" s="677"/>
      <c r="AL39" s="441"/>
      <c r="AM39" s="675"/>
      <c r="AN39" s="676"/>
      <c r="AO39" s="676"/>
      <c r="AP39" s="440"/>
      <c r="AQ39" s="677"/>
    </row>
    <row r="40" spans="1:43" x14ac:dyDescent="0.25">
      <c r="A40" s="670"/>
      <c r="B40" s="671" t="s">
        <v>406</v>
      </c>
      <c r="C40" s="661"/>
      <c r="D40" s="662"/>
      <c r="E40" s="662"/>
      <c r="F40" s="662"/>
      <c r="G40" s="662"/>
      <c r="H40" s="662"/>
      <c r="I40" s="662"/>
      <c r="J40" s="662"/>
      <c r="K40" s="662"/>
      <c r="L40" s="662"/>
      <c r="M40" s="662"/>
      <c r="N40" s="663"/>
      <c r="O40" s="662"/>
      <c r="P40" s="662"/>
      <c r="Q40" s="662"/>
      <c r="R40" s="662"/>
      <c r="S40" s="662"/>
      <c r="T40" s="662"/>
      <c r="U40" s="662"/>
      <c r="V40" s="662"/>
      <c r="W40" s="662"/>
      <c r="X40" s="662"/>
      <c r="Y40" s="663"/>
      <c r="Z40" s="672"/>
      <c r="AA40" s="673"/>
      <c r="AB40" s="673"/>
      <c r="AC40" s="674"/>
      <c r="AD40" s="675"/>
      <c r="AE40" s="676"/>
      <c r="AF40" s="676"/>
      <c r="AG40" s="440"/>
      <c r="AH40" s="440"/>
      <c r="AI40" s="440"/>
      <c r="AJ40" s="652"/>
      <c r="AK40" s="677"/>
      <c r="AL40" s="441"/>
      <c r="AM40" s="675"/>
      <c r="AN40" s="676"/>
      <c r="AO40" s="676"/>
      <c r="AP40" s="440"/>
      <c r="AQ40" s="677"/>
    </row>
    <row r="41" spans="1:43" x14ac:dyDescent="0.25">
      <c r="A41" s="670"/>
      <c r="B41" s="671" t="s">
        <v>433</v>
      </c>
      <c r="C41" s="661"/>
      <c r="D41" s="662"/>
      <c r="E41" s="662"/>
      <c r="F41" s="662"/>
      <c r="G41" s="662"/>
      <c r="H41" s="662"/>
      <c r="I41" s="662"/>
      <c r="J41" s="662"/>
      <c r="K41" s="662"/>
      <c r="L41" s="662"/>
      <c r="M41" s="662"/>
      <c r="N41" s="663"/>
      <c r="O41" s="662"/>
      <c r="P41" s="662"/>
      <c r="Q41" s="662"/>
      <c r="R41" s="662"/>
      <c r="S41" s="662"/>
      <c r="T41" s="662"/>
      <c r="U41" s="662"/>
      <c r="V41" s="662"/>
      <c r="W41" s="662"/>
      <c r="X41" s="662"/>
      <c r="Y41" s="663"/>
      <c r="Z41" s="672"/>
      <c r="AA41" s="673"/>
      <c r="AB41" s="673"/>
      <c r="AC41" s="674"/>
      <c r="AD41" s="675"/>
      <c r="AE41" s="676"/>
      <c r="AF41" s="676"/>
      <c r="AG41" s="440"/>
      <c r="AH41" s="440"/>
      <c r="AI41" s="440"/>
      <c r="AJ41" s="652"/>
      <c r="AK41" s="677"/>
      <c r="AL41" s="441"/>
      <c r="AM41" s="675"/>
      <c r="AN41" s="676"/>
      <c r="AO41" s="676"/>
      <c r="AP41" s="440"/>
      <c r="AQ41" s="677"/>
    </row>
    <row r="42" spans="1:43" x14ac:dyDescent="0.25">
      <c r="A42" s="670"/>
      <c r="B42" s="671" t="s">
        <v>406</v>
      </c>
      <c r="C42" s="661"/>
      <c r="D42" s="662"/>
      <c r="E42" s="662"/>
      <c r="F42" s="662"/>
      <c r="G42" s="662"/>
      <c r="H42" s="662"/>
      <c r="I42" s="662"/>
      <c r="J42" s="662"/>
      <c r="K42" s="662"/>
      <c r="L42" s="662"/>
      <c r="M42" s="662"/>
      <c r="N42" s="663"/>
      <c r="O42" s="662"/>
      <c r="P42" s="662"/>
      <c r="Q42" s="662"/>
      <c r="R42" s="662"/>
      <c r="S42" s="662"/>
      <c r="T42" s="662"/>
      <c r="U42" s="662"/>
      <c r="V42" s="662"/>
      <c r="W42" s="662"/>
      <c r="X42" s="662"/>
      <c r="Y42" s="663"/>
      <c r="Z42" s="672"/>
      <c r="AA42" s="673"/>
      <c r="AB42" s="673"/>
      <c r="AC42" s="674"/>
      <c r="AD42" s="675"/>
      <c r="AE42" s="676"/>
      <c r="AF42" s="676"/>
      <c r="AG42" s="440"/>
      <c r="AH42" s="440"/>
      <c r="AI42" s="440"/>
      <c r="AJ42" s="652"/>
      <c r="AK42" s="677"/>
      <c r="AL42" s="441"/>
      <c r="AM42" s="675"/>
      <c r="AN42" s="676"/>
      <c r="AO42" s="676"/>
      <c r="AP42" s="440"/>
      <c r="AQ42" s="677"/>
    </row>
    <row r="43" spans="1:43" x14ac:dyDescent="0.25">
      <c r="A43" s="670"/>
      <c r="B43" s="671" t="s">
        <v>434</v>
      </c>
      <c r="C43" s="661"/>
      <c r="D43" s="662"/>
      <c r="E43" s="662"/>
      <c r="F43" s="662"/>
      <c r="G43" s="662"/>
      <c r="H43" s="662"/>
      <c r="I43" s="662"/>
      <c r="J43" s="662"/>
      <c r="K43" s="662"/>
      <c r="L43" s="662"/>
      <c r="M43" s="662"/>
      <c r="N43" s="663"/>
      <c r="O43" s="662"/>
      <c r="P43" s="662"/>
      <c r="Q43" s="662"/>
      <c r="R43" s="662"/>
      <c r="S43" s="662"/>
      <c r="T43" s="662"/>
      <c r="U43" s="662"/>
      <c r="V43" s="662"/>
      <c r="W43" s="662"/>
      <c r="X43" s="662"/>
      <c r="Y43" s="663"/>
      <c r="Z43" s="672"/>
      <c r="AA43" s="673"/>
      <c r="AB43" s="673"/>
      <c r="AC43" s="674"/>
      <c r="AD43" s="675"/>
      <c r="AE43" s="676"/>
      <c r="AF43" s="676"/>
      <c r="AG43" s="440"/>
      <c r="AH43" s="440"/>
      <c r="AI43" s="440"/>
      <c r="AJ43" s="652"/>
      <c r="AK43" s="677"/>
      <c r="AL43" s="441"/>
      <c r="AM43" s="675"/>
      <c r="AN43" s="676"/>
      <c r="AO43" s="676"/>
      <c r="AP43" s="440"/>
      <c r="AQ43" s="677"/>
    </row>
    <row r="44" spans="1:43" x14ac:dyDescent="0.25">
      <c r="A44" s="670"/>
      <c r="B44" s="671" t="s">
        <v>406</v>
      </c>
      <c r="C44" s="661"/>
      <c r="D44" s="662"/>
      <c r="E44" s="662"/>
      <c r="F44" s="662"/>
      <c r="G44" s="662"/>
      <c r="H44" s="662"/>
      <c r="I44" s="662"/>
      <c r="J44" s="662"/>
      <c r="K44" s="662"/>
      <c r="L44" s="662"/>
      <c r="M44" s="662"/>
      <c r="N44" s="663"/>
      <c r="O44" s="662"/>
      <c r="P44" s="662"/>
      <c r="Q44" s="662"/>
      <c r="R44" s="662"/>
      <c r="S44" s="662"/>
      <c r="T44" s="662"/>
      <c r="U44" s="662"/>
      <c r="V44" s="662"/>
      <c r="W44" s="662"/>
      <c r="X44" s="662"/>
      <c r="Y44" s="663"/>
      <c r="Z44" s="672"/>
      <c r="AA44" s="673"/>
      <c r="AB44" s="673"/>
      <c r="AC44" s="674"/>
      <c r="AD44" s="675"/>
      <c r="AE44" s="676"/>
      <c r="AF44" s="676"/>
      <c r="AG44" s="440"/>
      <c r="AH44" s="440"/>
      <c r="AI44" s="440"/>
      <c r="AJ44" s="652"/>
      <c r="AK44" s="677"/>
      <c r="AL44" s="441"/>
      <c r="AM44" s="675"/>
      <c r="AN44" s="676"/>
      <c r="AO44" s="676"/>
      <c r="AP44" s="440"/>
      <c r="AQ44" s="677"/>
    </row>
    <row r="45" spans="1:43" x14ac:dyDescent="0.25">
      <c r="A45" s="670"/>
      <c r="B45" s="671" t="s">
        <v>407</v>
      </c>
      <c r="C45" s="661"/>
      <c r="D45" s="662"/>
      <c r="E45" s="662"/>
      <c r="F45" s="662"/>
      <c r="G45" s="662"/>
      <c r="H45" s="662"/>
      <c r="I45" s="662"/>
      <c r="J45" s="662"/>
      <c r="K45" s="662"/>
      <c r="L45" s="662"/>
      <c r="M45" s="662"/>
      <c r="N45" s="663"/>
      <c r="O45" s="662"/>
      <c r="P45" s="662"/>
      <c r="Q45" s="662"/>
      <c r="R45" s="662"/>
      <c r="S45" s="662"/>
      <c r="T45" s="662"/>
      <c r="U45" s="662"/>
      <c r="V45" s="662"/>
      <c r="W45" s="662"/>
      <c r="X45" s="662"/>
      <c r="Y45" s="663"/>
      <c r="Z45" s="672"/>
      <c r="AA45" s="673"/>
      <c r="AB45" s="673"/>
      <c r="AC45" s="674"/>
      <c r="AD45" s="675"/>
      <c r="AE45" s="676"/>
      <c r="AF45" s="676"/>
      <c r="AG45" s="440"/>
      <c r="AH45" s="440"/>
      <c r="AI45" s="440"/>
      <c r="AJ45" s="652"/>
      <c r="AK45" s="677"/>
      <c r="AL45" s="441"/>
      <c r="AM45" s="675"/>
      <c r="AN45" s="676"/>
      <c r="AO45" s="676"/>
      <c r="AP45" s="440"/>
      <c r="AQ45" s="677"/>
    </row>
    <row r="46" spans="1:43" x14ac:dyDescent="0.25">
      <c r="A46" s="670"/>
      <c r="B46" s="671" t="s">
        <v>408</v>
      </c>
      <c r="C46" s="661"/>
      <c r="D46" s="662"/>
      <c r="E46" s="662"/>
      <c r="F46" s="662"/>
      <c r="G46" s="662"/>
      <c r="H46" s="662"/>
      <c r="I46" s="662"/>
      <c r="J46" s="662"/>
      <c r="K46" s="662"/>
      <c r="L46" s="662"/>
      <c r="M46" s="662"/>
      <c r="N46" s="663"/>
      <c r="O46" s="662"/>
      <c r="P46" s="662"/>
      <c r="Q46" s="662"/>
      <c r="R46" s="662"/>
      <c r="S46" s="662"/>
      <c r="T46" s="662"/>
      <c r="U46" s="662"/>
      <c r="V46" s="662"/>
      <c r="W46" s="662"/>
      <c r="X46" s="662"/>
      <c r="Y46" s="663"/>
      <c r="Z46" s="672"/>
      <c r="AA46" s="673"/>
      <c r="AB46" s="673"/>
      <c r="AC46" s="674"/>
      <c r="AD46" s="675"/>
      <c r="AE46" s="676"/>
      <c r="AF46" s="676"/>
      <c r="AG46" s="440"/>
      <c r="AH46" s="440"/>
      <c r="AI46" s="440"/>
      <c r="AJ46" s="652"/>
      <c r="AK46" s="677"/>
      <c r="AL46" s="441"/>
      <c r="AM46" s="675"/>
      <c r="AN46" s="676"/>
      <c r="AO46" s="676"/>
      <c r="AP46" s="440"/>
      <c r="AQ46" s="677"/>
    </row>
    <row r="47" spans="1:43" x14ac:dyDescent="0.25">
      <c r="A47" s="670"/>
      <c r="B47" s="671" t="s">
        <v>406</v>
      </c>
      <c r="C47" s="661"/>
      <c r="D47" s="662"/>
      <c r="E47" s="662"/>
      <c r="F47" s="662"/>
      <c r="G47" s="662"/>
      <c r="H47" s="662"/>
      <c r="I47" s="662"/>
      <c r="J47" s="662"/>
      <c r="K47" s="662"/>
      <c r="L47" s="662"/>
      <c r="M47" s="662"/>
      <c r="N47" s="663"/>
      <c r="O47" s="662"/>
      <c r="P47" s="662"/>
      <c r="Q47" s="662"/>
      <c r="R47" s="662"/>
      <c r="S47" s="662"/>
      <c r="T47" s="662"/>
      <c r="U47" s="662"/>
      <c r="V47" s="662"/>
      <c r="W47" s="662"/>
      <c r="X47" s="662"/>
      <c r="Y47" s="663"/>
      <c r="Z47" s="672"/>
      <c r="AA47" s="673"/>
      <c r="AB47" s="673"/>
      <c r="AC47" s="674"/>
      <c r="AD47" s="675"/>
      <c r="AE47" s="676"/>
      <c r="AF47" s="676"/>
      <c r="AG47" s="440"/>
      <c r="AH47" s="440"/>
      <c r="AI47" s="440"/>
      <c r="AJ47" s="652"/>
      <c r="AK47" s="677"/>
      <c r="AL47" s="441"/>
      <c r="AM47" s="675"/>
      <c r="AN47" s="676"/>
      <c r="AO47" s="676"/>
      <c r="AP47" s="440"/>
      <c r="AQ47" s="677"/>
    </row>
    <row r="48" spans="1:43" x14ac:dyDescent="0.25">
      <c r="A48" s="670"/>
      <c r="B48" s="671" t="s">
        <v>409</v>
      </c>
      <c r="C48" s="661"/>
      <c r="D48" s="662"/>
      <c r="E48" s="662"/>
      <c r="F48" s="662"/>
      <c r="G48" s="662"/>
      <c r="H48" s="662"/>
      <c r="I48" s="662"/>
      <c r="J48" s="662"/>
      <c r="K48" s="662"/>
      <c r="L48" s="662"/>
      <c r="M48" s="662"/>
      <c r="N48" s="663"/>
      <c r="O48" s="662"/>
      <c r="P48" s="662"/>
      <c r="Q48" s="662"/>
      <c r="R48" s="662"/>
      <c r="S48" s="662"/>
      <c r="T48" s="662"/>
      <c r="U48" s="662"/>
      <c r="V48" s="662"/>
      <c r="W48" s="662"/>
      <c r="X48" s="662"/>
      <c r="Y48" s="663"/>
      <c r="Z48" s="672"/>
      <c r="AA48" s="673"/>
      <c r="AB48" s="673"/>
      <c r="AC48" s="674"/>
      <c r="AD48" s="675"/>
      <c r="AE48" s="676"/>
      <c r="AF48" s="676"/>
      <c r="AG48" s="440"/>
      <c r="AH48" s="440"/>
      <c r="AI48" s="440"/>
      <c r="AJ48" s="652"/>
      <c r="AK48" s="677"/>
      <c r="AL48" s="441"/>
      <c r="AM48" s="675"/>
      <c r="AN48" s="676"/>
      <c r="AO48" s="676"/>
      <c r="AP48" s="440"/>
      <c r="AQ48" s="677"/>
    </row>
    <row r="49" spans="1:43" x14ac:dyDescent="0.25">
      <c r="A49" s="670"/>
      <c r="B49" s="671" t="s">
        <v>406</v>
      </c>
      <c r="C49" s="661"/>
      <c r="D49" s="662"/>
      <c r="E49" s="662"/>
      <c r="F49" s="662"/>
      <c r="G49" s="662"/>
      <c r="H49" s="662"/>
      <c r="I49" s="662"/>
      <c r="J49" s="662"/>
      <c r="K49" s="662"/>
      <c r="L49" s="662"/>
      <c r="M49" s="662"/>
      <c r="N49" s="663"/>
      <c r="O49" s="662"/>
      <c r="P49" s="662"/>
      <c r="Q49" s="662"/>
      <c r="R49" s="662"/>
      <c r="S49" s="662"/>
      <c r="T49" s="662"/>
      <c r="U49" s="662"/>
      <c r="V49" s="662"/>
      <c r="W49" s="662"/>
      <c r="X49" s="662"/>
      <c r="Y49" s="663"/>
      <c r="Z49" s="672"/>
      <c r="AA49" s="673"/>
      <c r="AB49" s="673"/>
      <c r="AC49" s="674"/>
      <c r="AD49" s="675"/>
      <c r="AE49" s="676"/>
      <c r="AF49" s="676"/>
      <c r="AG49" s="440"/>
      <c r="AH49" s="440"/>
      <c r="AI49" s="440"/>
      <c r="AJ49" s="652"/>
      <c r="AK49" s="677"/>
      <c r="AL49" s="441"/>
      <c r="AM49" s="675"/>
      <c r="AN49" s="676"/>
      <c r="AO49" s="676"/>
      <c r="AP49" s="440"/>
      <c r="AQ49" s="677"/>
    </row>
    <row r="50" spans="1:43" x14ac:dyDescent="0.25">
      <c r="A50" s="670"/>
      <c r="B50" s="671" t="s">
        <v>435</v>
      </c>
      <c r="C50" s="661"/>
      <c r="D50" s="662"/>
      <c r="E50" s="662"/>
      <c r="F50" s="662"/>
      <c r="G50" s="662"/>
      <c r="H50" s="662"/>
      <c r="I50" s="662"/>
      <c r="J50" s="662"/>
      <c r="K50" s="662"/>
      <c r="L50" s="662"/>
      <c r="M50" s="662"/>
      <c r="N50" s="663"/>
      <c r="O50" s="662"/>
      <c r="P50" s="662"/>
      <c r="Q50" s="662"/>
      <c r="R50" s="662"/>
      <c r="S50" s="662"/>
      <c r="T50" s="662"/>
      <c r="U50" s="662"/>
      <c r="V50" s="662"/>
      <c r="W50" s="662"/>
      <c r="X50" s="662"/>
      <c r="Y50" s="663"/>
      <c r="Z50" s="672"/>
      <c r="AA50" s="673"/>
      <c r="AB50" s="673"/>
      <c r="AC50" s="674"/>
      <c r="AD50" s="675"/>
      <c r="AE50" s="676"/>
      <c r="AF50" s="676"/>
      <c r="AG50" s="440"/>
      <c r="AH50" s="440"/>
      <c r="AI50" s="440"/>
      <c r="AJ50" s="652"/>
      <c r="AK50" s="677"/>
      <c r="AL50" s="441"/>
      <c r="AM50" s="675"/>
      <c r="AN50" s="676"/>
      <c r="AO50" s="676"/>
      <c r="AP50" s="440"/>
      <c r="AQ50" s="677"/>
    </row>
    <row r="51" spans="1:43" x14ac:dyDescent="0.25">
      <c r="A51" s="670"/>
      <c r="B51" s="671" t="s">
        <v>406</v>
      </c>
      <c r="C51" s="661"/>
      <c r="D51" s="662"/>
      <c r="E51" s="662"/>
      <c r="F51" s="662"/>
      <c r="G51" s="662"/>
      <c r="H51" s="662"/>
      <c r="I51" s="662"/>
      <c r="J51" s="662"/>
      <c r="K51" s="662"/>
      <c r="L51" s="662"/>
      <c r="M51" s="662"/>
      <c r="N51" s="663"/>
      <c r="O51" s="662"/>
      <c r="P51" s="662"/>
      <c r="Q51" s="662"/>
      <c r="R51" s="662"/>
      <c r="S51" s="662"/>
      <c r="T51" s="662"/>
      <c r="U51" s="662"/>
      <c r="V51" s="662"/>
      <c r="W51" s="662"/>
      <c r="X51" s="662"/>
      <c r="Y51" s="663"/>
      <c r="Z51" s="672"/>
      <c r="AA51" s="673"/>
      <c r="AB51" s="673"/>
      <c r="AC51" s="674"/>
      <c r="AD51" s="675"/>
      <c r="AE51" s="676"/>
      <c r="AF51" s="676"/>
      <c r="AG51" s="440"/>
      <c r="AH51" s="440"/>
      <c r="AI51" s="440"/>
      <c r="AJ51" s="652"/>
      <c r="AK51" s="677"/>
      <c r="AL51" s="441"/>
      <c r="AM51" s="675"/>
      <c r="AN51" s="676"/>
      <c r="AO51" s="676"/>
      <c r="AP51" s="440"/>
      <c r="AQ51" s="677"/>
    </row>
    <row r="52" spans="1:43" x14ac:dyDescent="0.25">
      <c r="A52" s="670"/>
      <c r="B52" s="671" t="s">
        <v>410</v>
      </c>
      <c r="C52" s="661"/>
      <c r="D52" s="662"/>
      <c r="E52" s="662"/>
      <c r="F52" s="662"/>
      <c r="G52" s="662"/>
      <c r="H52" s="662"/>
      <c r="I52" s="662"/>
      <c r="J52" s="662"/>
      <c r="K52" s="662"/>
      <c r="L52" s="662"/>
      <c r="M52" s="662"/>
      <c r="N52" s="663"/>
      <c r="O52" s="662"/>
      <c r="P52" s="662"/>
      <c r="Q52" s="662"/>
      <c r="R52" s="662"/>
      <c r="S52" s="662"/>
      <c r="T52" s="662"/>
      <c r="U52" s="662"/>
      <c r="V52" s="662"/>
      <c r="W52" s="662"/>
      <c r="X52" s="662"/>
      <c r="Y52" s="663"/>
      <c r="Z52" s="672"/>
      <c r="AA52" s="673"/>
      <c r="AB52" s="673"/>
      <c r="AC52" s="674"/>
      <c r="AD52" s="675"/>
      <c r="AE52" s="676"/>
      <c r="AF52" s="676"/>
      <c r="AG52" s="440"/>
      <c r="AH52" s="440"/>
      <c r="AI52" s="440"/>
      <c r="AJ52" s="652"/>
      <c r="AK52" s="677"/>
      <c r="AL52" s="441"/>
      <c r="AM52" s="675"/>
      <c r="AN52" s="676"/>
      <c r="AO52" s="676"/>
      <c r="AP52" s="440"/>
      <c r="AQ52" s="677"/>
    </row>
    <row r="53" spans="1:43" x14ac:dyDescent="0.25">
      <c r="A53" s="670"/>
      <c r="B53" s="671" t="s">
        <v>411</v>
      </c>
      <c r="C53" s="661"/>
      <c r="D53" s="662"/>
      <c r="E53" s="662"/>
      <c r="F53" s="662"/>
      <c r="G53" s="662"/>
      <c r="H53" s="662"/>
      <c r="I53" s="662"/>
      <c r="J53" s="662"/>
      <c r="K53" s="662"/>
      <c r="L53" s="662"/>
      <c r="M53" s="662"/>
      <c r="N53" s="663"/>
      <c r="O53" s="662"/>
      <c r="P53" s="662"/>
      <c r="Q53" s="662"/>
      <c r="R53" s="662"/>
      <c r="S53" s="662"/>
      <c r="T53" s="662"/>
      <c r="U53" s="662"/>
      <c r="V53" s="662"/>
      <c r="W53" s="662"/>
      <c r="X53" s="662"/>
      <c r="Y53" s="663"/>
      <c r="Z53" s="672"/>
      <c r="AA53" s="673"/>
      <c r="AB53" s="673"/>
      <c r="AC53" s="674"/>
      <c r="AD53" s="675"/>
      <c r="AE53" s="676"/>
      <c r="AF53" s="676"/>
      <c r="AG53" s="440"/>
      <c r="AH53" s="440"/>
      <c r="AI53" s="440"/>
      <c r="AJ53" s="652"/>
      <c r="AK53" s="677"/>
      <c r="AL53" s="441"/>
      <c r="AM53" s="675"/>
      <c r="AN53" s="676"/>
      <c r="AO53" s="676"/>
      <c r="AP53" s="440"/>
      <c r="AQ53" s="677"/>
    </row>
    <row r="54" spans="1:43" x14ac:dyDescent="0.25">
      <c r="A54" s="670"/>
      <c r="B54" s="671" t="s">
        <v>412</v>
      </c>
      <c r="C54" s="661"/>
      <c r="D54" s="662"/>
      <c r="E54" s="662"/>
      <c r="F54" s="662"/>
      <c r="G54" s="662"/>
      <c r="H54" s="662"/>
      <c r="I54" s="662"/>
      <c r="J54" s="662"/>
      <c r="K54" s="662"/>
      <c r="L54" s="662"/>
      <c r="M54" s="662"/>
      <c r="N54" s="663"/>
      <c r="O54" s="662"/>
      <c r="P54" s="662"/>
      <c r="Q54" s="662"/>
      <c r="R54" s="662"/>
      <c r="S54" s="662"/>
      <c r="T54" s="662"/>
      <c r="U54" s="662"/>
      <c r="V54" s="662"/>
      <c r="W54" s="662"/>
      <c r="X54" s="662"/>
      <c r="Y54" s="663"/>
      <c r="Z54" s="672"/>
      <c r="AA54" s="673"/>
      <c r="AB54" s="673"/>
      <c r="AC54" s="674"/>
      <c r="AD54" s="675"/>
      <c r="AE54" s="676"/>
      <c r="AF54" s="676"/>
      <c r="AG54" s="440"/>
      <c r="AH54" s="440"/>
      <c r="AI54" s="440"/>
      <c r="AJ54" s="652"/>
      <c r="AK54" s="677"/>
      <c r="AL54" s="441"/>
      <c r="AM54" s="675"/>
      <c r="AN54" s="676"/>
      <c r="AO54" s="676"/>
      <c r="AP54" s="440"/>
      <c r="AQ54" s="677"/>
    </row>
    <row r="55" spans="1:43" x14ac:dyDescent="0.25">
      <c r="A55" s="670"/>
      <c r="B55" s="671" t="s">
        <v>413</v>
      </c>
      <c r="C55" s="661"/>
      <c r="D55" s="662"/>
      <c r="E55" s="662"/>
      <c r="F55" s="662"/>
      <c r="G55" s="662"/>
      <c r="H55" s="662"/>
      <c r="I55" s="662"/>
      <c r="J55" s="662"/>
      <c r="K55" s="662"/>
      <c r="L55" s="662"/>
      <c r="M55" s="662"/>
      <c r="N55" s="663"/>
      <c r="O55" s="662"/>
      <c r="P55" s="662"/>
      <c r="Q55" s="662"/>
      <c r="R55" s="662"/>
      <c r="S55" s="662"/>
      <c r="T55" s="662"/>
      <c r="U55" s="662"/>
      <c r="V55" s="662"/>
      <c r="W55" s="662"/>
      <c r="X55" s="662"/>
      <c r="Y55" s="663"/>
      <c r="Z55" s="672"/>
      <c r="AA55" s="673"/>
      <c r="AB55" s="673"/>
      <c r="AC55" s="674"/>
      <c r="AD55" s="675"/>
      <c r="AE55" s="676"/>
      <c r="AF55" s="676"/>
      <c r="AG55" s="440"/>
      <c r="AH55" s="440"/>
      <c r="AI55" s="440"/>
      <c r="AJ55" s="652"/>
      <c r="AK55" s="677"/>
      <c r="AL55" s="441"/>
      <c r="AM55" s="675"/>
      <c r="AN55" s="676"/>
      <c r="AO55" s="676"/>
      <c r="AP55" s="440"/>
      <c r="AQ55" s="677"/>
    </row>
    <row r="56" spans="1:43" ht="24" x14ac:dyDescent="0.25">
      <c r="A56" s="670"/>
      <c r="B56" s="671" t="s">
        <v>414</v>
      </c>
      <c r="C56" s="661"/>
      <c r="D56" s="662"/>
      <c r="E56" s="662"/>
      <c r="F56" s="662"/>
      <c r="G56" s="662"/>
      <c r="H56" s="662"/>
      <c r="I56" s="662"/>
      <c r="J56" s="662"/>
      <c r="K56" s="662"/>
      <c r="L56" s="662"/>
      <c r="M56" s="662"/>
      <c r="N56" s="663"/>
      <c r="O56" s="662"/>
      <c r="P56" s="662"/>
      <c r="Q56" s="662"/>
      <c r="R56" s="662"/>
      <c r="S56" s="662"/>
      <c r="T56" s="662"/>
      <c r="U56" s="662"/>
      <c r="V56" s="662"/>
      <c r="W56" s="662"/>
      <c r="X56" s="662"/>
      <c r="Y56" s="663"/>
      <c r="Z56" s="672"/>
      <c r="AA56" s="673"/>
      <c r="AB56" s="673"/>
      <c r="AC56" s="674"/>
      <c r="AD56" s="675"/>
      <c r="AE56" s="676"/>
      <c r="AF56" s="676"/>
      <c r="AG56" s="440"/>
      <c r="AH56" s="440"/>
      <c r="AI56" s="440"/>
      <c r="AJ56" s="652"/>
      <c r="AK56" s="677"/>
      <c r="AL56" s="441"/>
      <c r="AM56" s="675"/>
      <c r="AN56" s="676"/>
      <c r="AO56" s="676"/>
      <c r="AP56" s="440"/>
      <c r="AQ56" s="677"/>
    </row>
    <row r="57" spans="1:43" x14ac:dyDescent="0.25">
      <c r="A57" s="670"/>
      <c r="B57" s="671" t="s">
        <v>415</v>
      </c>
      <c r="C57" s="661"/>
      <c r="D57" s="662"/>
      <c r="E57" s="662"/>
      <c r="F57" s="662"/>
      <c r="G57" s="662"/>
      <c r="H57" s="662"/>
      <c r="I57" s="662"/>
      <c r="J57" s="662"/>
      <c r="K57" s="662"/>
      <c r="L57" s="662"/>
      <c r="M57" s="662"/>
      <c r="N57" s="663"/>
      <c r="O57" s="662"/>
      <c r="P57" s="662"/>
      <c r="Q57" s="662"/>
      <c r="R57" s="662"/>
      <c r="S57" s="662"/>
      <c r="T57" s="662"/>
      <c r="U57" s="662"/>
      <c r="V57" s="662"/>
      <c r="W57" s="662"/>
      <c r="X57" s="662"/>
      <c r="Y57" s="663"/>
      <c r="Z57" s="672"/>
      <c r="AA57" s="673"/>
      <c r="AB57" s="673"/>
      <c r="AC57" s="674"/>
      <c r="AD57" s="675"/>
      <c r="AE57" s="676"/>
      <c r="AF57" s="676"/>
      <c r="AG57" s="440"/>
      <c r="AH57" s="440"/>
      <c r="AI57" s="440"/>
      <c r="AJ57" s="652"/>
      <c r="AK57" s="677"/>
      <c r="AL57" s="441"/>
      <c r="AM57" s="675"/>
      <c r="AN57" s="676"/>
      <c r="AO57" s="676"/>
      <c r="AP57" s="440"/>
      <c r="AQ57" s="677"/>
    </row>
    <row r="58" spans="1:43" ht="24" x14ac:dyDescent="0.25">
      <c r="A58" s="670"/>
      <c r="B58" s="671" t="s">
        <v>416</v>
      </c>
      <c r="C58" s="661"/>
      <c r="D58" s="662"/>
      <c r="E58" s="662"/>
      <c r="F58" s="662"/>
      <c r="G58" s="662"/>
      <c r="H58" s="662"/>
      <c r="I58" s="662"/>
      <c r="J58" s="662"/>
      <c r="K58" s="662"/>
      <c r="L58" s="662"/>
      <c r="M58" s="662"/>
      <c r="N58" s="663"/>
      <c r="O58" s="662"/>
      <c r="P58" s="662"/>
      <c r="Q58" s="662"/>
      <c r="R58" s="662"/>
      <c r="S58" s="662"/>
      <c r="T58" s="662"/>
      <c r="U58" s="662"/>
      <c r="V58" s="662"/>
      <c r="W58" s="662"/>
      <c r="X58" s="662"/>
      <c r="Y58" s="663"/>
      <c r="Z58" s="672"/>
      <c r="AA58" s="673"/>
      <c r="AB58" s="673"/>
      <c r="AC58" s="674"/>
      <c r="AD58" s="675"/>
      <c r="AE58" s="676"/>
      <c r="AF58" s="676"/>
      <c r="AG58" s="440"/>
      <c r="AH58" s="440"/>
      <c r="AI58" s="440"/>
      <c r="AJ58" s="652"/>
      <c r="AK58" s="677"/>
      <c r="AL58" s="441"/>
      <c r="AM58" s="675"/>
      <c r="AN58" s="676"/>
      <c r="AO58" s="676"/>
      <c r="AP58" s="440"/>
      <c r="AQ58" s="677"/>
    </row>
    <row r="59" spans="1:43" ht="24" x14ac:dyDescent="0.25">
      <c r="A59" s="670"/>
      <c r="B59" s="671" t="s">
        <v>436</v>
      </c>
      <c r="C59" s="661"/>
      <c r="D59" s="662"/>
      <c r="E59" s="662"/>
      <c r="F59" s="662"/>
      <c r="G59" s="662"/>
      <c r="H59" s="662"/>
      <c r="I59" s="662"/>
      <c r="J59" s="662"/>
      <c r="K59" s="662"/>
      <c r="L59" s="662"/>
      <c r="M59" s="662"/>
      <c r="N59" s="663"/>
      <c r="O59" s="662"/>
      <c r="P59" s="662"/>
      <c r="Q59" s="662"/>
      <c r="R59" s="662"/>
      <c r="S59" s="662"/>
      <c r="T59" s="662"/>
      <c r="U59" s="662"/>
      <c r="V59" s="662"/>
      <c r="W59" s="662"/>
      <c r="X59" s="662"/>
      <c r="Y59" s="663"/>
      <c r="Z59" s="672"/>
      <c r="AA59" s="673"/>
      <c r="AB59" s="673"/>
      <c r="AC59" s="674"/>
      <c r="AD59" s="675"/>
      <c r="AE59" s="676"/>
      <c r="AF59" s="676"/>
      <c r="AG59" s="440"/>
      <c r="AH59" s="440"/>
      <c r="AI59" s="440"/>
      <c r="AJ59" s="652"/>
      <c r="AK59" s="677"/>
      <c r="AL59" s="441"/>
      <c r="AM59" s="675"/>
      <c r="AN59" s="676"/>
      <c r="AO59" s="676"/>
      <c r="AP59" s="440"/>
      <c r="AQ59" s="677"/>
    </row>
    <row r="60" spans="1:43" x14ac:dyDescent="0.25">
      <c r="A60" s="670"/>
      <c r="B60" s="671" t="s">
        <v>419</v>
      </c>
      <c r="C60" s="661"/>
      <c r="D60" s="662"/>
      <c r="E60" s="662"/>
      <c r="F60" s="662"/>
      <c r="G60" s="662"/>
      <c r="H60" s="662"/>
      <c r="I60" s="662"/>
      <c r="J60" s="662"/>
      <c r="K60" s="662"/>
      <c r="L60" s="662"/>
      <c r="M60" s="662"/>
      <c r="N60" s="663"/>
      <c r="O60" s="662"/>
      <c r="P60" s="662"/>
      <c r="Q60" s="662"/>
      <c r="R60" s="662"/>
      <c r="S60" s="662"/>
      <c r="T60" s="662"/>
      <c r="U60" s="662"/>
      <c r="V60" s="662"/>
      <c r="W60" s="662"/>
      <c r="X60" s="662"/>
      <c r="Y60" s="663"/>
      <c r="Z60" s="672"/>
      <c r="AA60" s="673"/>
      <c r="AB60" s="673"/>
      <c r="AC60" s="674"/>
      <c r="AD60" s="675"/>
      <c r="AE60" s="676"/>
      <c r="AF60" s="676"/>
      <c r="AG60" s="440"/>
      <c r="AH60" s="440"/>
      <c r="AI60" s="440"/>
      <c r="AJ60" s="652"/>
      <c r="AK60" s="677"/>
      <c r="AL60" s="441"/>
      <c r="AM60" s="675"/>
      <c r="AN60" s="676"/>
      <c r="AO60" s="676"/>
      <c r="AP60" s="440"/>
      <c r="AQ60" s="677"/>
    </row>
    <row r="61" spans="1:43" x14ac:dyDescent="0.25">
      <c r="A61" s="670"/>
      <c r="B61" s="671" t="s">
        <v>420</v>
      </c>
      <c r="C61" s="661"/>
      <c r="D61" s="662"/>
      <c r="E61" s="662"/>
      <c r="F61" s="662"/>
      <c r="G61" s="662"/>
      <c r="H61" s="662"/>
      <c r="I61" s="662"/>
      <c r="J61" s="662"/>
      <c r="K61" s="662"/>
      <c r="L61" s="662"/>
      <c r="M61" s="662"/>
      <c r="N61" s="663"/>
      <c r="O61" s="662"/>
      <c r="P61" s="662"/>
      <c r="Q61" s="662"/>
      <c r="R61" s="662"/>
      <c r="S61" s="662"/>
      <c r="T61" s="662"/>
      <c r="U61" s="662"/>
      <c r="V61" s="662"/>
      <c r="W61" s="662"/>
      <c r="X61" s="662"/>
      <c r="Y61" s="663"/>
      <c r="Z61" s="672"/>
      <c r="AA61" s="673"/>
      <c r="AB61" s="673"/>
      <c r="AC61" s="674"/>
      <c r="AD61" s="675"/>
      <c r="AE61" s="676"/>
      <c r="AF61" s="676"/>
      <c r="AG61" s="440"/>
      <c r="AH61" s="440"/>
      <c r="AI61" s="440"/>
      <c r="AJ61" s="652"/>
      <c r="AK61" s="677"/>
      <c r="AL61" s="441"/>
      <c r="AM61" s="675"/>
      <c r="AN61" s="676"/>
      <c r="AO61" s="676"/>
      <c r="AP61" s="440"/>
      <c r="AQ61" s="677"/>
    </row>
    <row r="62" spans="1:43" x14ac:dyDescent="0.25">
      <c r="A62" s="670"/>
      <c r="B62" s="671" t="s">
        <v>421</v>
      </c>
      <c r="C62" s="661"/>
      <c r="D62" s="662"/>
      <c r="E62" s="662"/>
      <c r="F62" s="662"/>
      <c r="G62" s="662"/>
      <c r="H62" s="662"/>
      <c r="I62" s="662"/>
      <c r="J62" s="662"/>
      <c r="K62" s="662"/>
      <c r="L62" s="662"/>
      <c r="M62" s="662"/>
      <c r="N62" s="663"/>
      <c r="O62" s="662"/>
      <c r="P62" s="662"/>
      <c r="Q62" s="662"/>
      <c r="R62" s="662"/>
      <c r="S62" s="662"/>
      <c r="T62" s="662"/>
      <c r="U62" s="662"/>
      <c r="V62" s="662"/>
      <c r="W62" s="662"/>
      <c r="X62" s="662"/>
      <c r="Y62" s="663"/>
      <c r="Z62" s="672"/>
      <c r="AA62" s="673"/>
      <c r="AB62" s="673"/>
      <c r="AC62" s="674"/>
      <c r="AD62" s="675"/>
      <c r="AE62" s="676"/>
      <c r="AF62" s="676"/>
      <c r="AG62" s="440"/>
      <c r="AH62" s="440"/>
      <c r="AI62" s="440"/>
      <c r="AJ62" s="652"/>
      <c r="AK62" s="677"/>
      <c r="AL62" s="441"/>
      <c r="AM62" s="675"/>
      <c r="AN62" s="676"/>
      <c r="AO62" s="676"/>
      <c r="AP62" s="440"/>
      <c r="AQ62" s="677"/>
    </row>
    <row r="63" spans="1:43" x14ac:dyDescent="0.25">
      <c r="A63" s="670"/>
      <c r="B63" s="671" t="s">
        <v>422</v>
      </c>
      <c r="C63" s="661"/>
      <c r="D63" s="662"/>
      <c r="E63" s="662"/>
      <c r="F63" s="662"/>
      <c r="G63" s="662"/>
      <c r="H63" s="662"/>
      <c r="I63" s="662"/>
      <c r="J63" s="662"/>
      <c r="K63" s="662"/>
      <c r="L63" s="662"/>
      <c r="M63" s="662"/>
      <c r="N63" s="663"/>
      <c r="O63" s="662"/>
      <c r="P63" s="662"/>
      <c r="Q63" s="662"/>
      <c r="R63" s="662"/>
      <c r="S63" s="662"/>
      <c r="T63" s="662"/>
      <c r="U63" s="662"/>
      <c r="V63" s="662"/>
      <c r="W63" s="662"/>
      <c r="X63" s="662"/>
      <c r="Y63" s="663"/>
      <c r="Z63" s="672"/>
      <c r="AA63" s="673"/>
      <c r="AB63" s="673"/>
      <c r="AC63" s="674"/>
      <c r="AD63" s="675"/>
      <c r="AE63" s="676"/>
      <c r="AF63" s="676"/>
      <c r="AG63" s="440"/>
      <c r="AH63" s="440"/>
      <c r="AI63" s="440"/>
      <c r="AJ63" s="652"/>
      <c r="AK63" s="677"/>
      <c r="AL63" s="441"/>
      <c r="AM63" s="675"/>
      <c r="AN63" s="676"/>
      <c r="AO63" s="676"/>
      <c r="AP63" s="440"/>
      <c r="AQ63" s="677"/>
    </row>
    <row r="64" spans="1:43" x14ac:dyDescent="0.25">
      <c r="A64" s="670"/>
      <c r="B64" s="671" t="s">
        <v>423</v>
      </c>
      <c r="C64" s="661"/>
      <c r="D64" s="662"/>
      <c r="E64" s="662"/>
      <c r="F64" s="662"/>
      <c r="G64" s="662"/>
      <c r="H64" s="662"/>
      <c r="I64" s="662"/>
      <c r="J64" s="662"/>
      <c r="K64" s="662"/>
      <c r="L64" s="662"/>
      <c r="M64" s="662"/>
      <c r="N64" s="663"/>
      <c r="O64" s="662"/>
      <c r="P64" s="662"/>
      <c r="Q64" s="662"/>
      <c r="R64" s="662"/>
      <c r="S64" s="662"/>
      <c r="T64" s="662"/>
      <c r="U64" s="662"/>
      <c r="V64" s="662"/>
      <c r="W64" s="662"/>
      <c r="X64" s="662"/>
      <c r="Y64" s="663"/>
      <c r="Z64" s="672"/>
      <c r="AA64" s="673"/>
      <c r="AB64" s="673"/>
      <c r="AC64" s="674"/>
      <c r="AD64" s="675"/>
      <c r="AE64" s="676"/>
      <c r="AF64" s="676"/>
      <c r="AG64" s="440"/>
      <c r="AH64" s="440"/>
      <c r="AI64" s="440"/>
      <c r="AJ64" s="652"/>
      <c r="AK64" s="677"/>
      <c r="AL64" s="441"/>
      <c r="AM64" s="675"/>
      <c r="AN64" s="676"/>
      <c r="AO64" s="676"/>
      <c r="AP64" s="440"/>
      <c r="AQ64" s="677"/>
    </row>
    <row r="65" spans="1:43" x14ac:dyDescent="0.25">
      <c r="A65" s="670"/>
      <c r="B65" s="671" t="s">
        <v>424</v>
      </c>
      <c r="C65" s="661"/>
      <c r="D65" s="662"/>
      <c r="E65" s="662"/>
      <c r="F65" s="662"/>
      <c r="G65" s="662"/>
      <c r="H65" s="662"/>
      <c r="I65" s="662"/>
      <c r="J65" s="662"/>
      <c r="K65" s="662"/>
      <c r="L65" s="662"/>
      <c r="M65" s="662"/>
      <c r="N65" s="663"/>
      <c r="O65" s="662"/>
      <c r="P65" s="662"/>
      <c r="Q65" s="662"/>
      <c r="R65" s="662"/>
      <c r="S65" s="662"/>
      <c r="T65" s="662"/>
      <c r="U65" s="662"/>
      <c r="V65" s="662"/>
      <c r="W65" s="662"/>
      <c r="X65" s="662"/>
      <c r="Y65" s="663"/>
      <c r="Z65" s="672"/>
      <c r="AA65" s="673"/>
      <c r="AB65" s="673"/>
      <c r="AC65" s="674"/>
      <c r="AD65" s="675"/>
      <c r="AE65" s="676"/>
      <c r="AF65" s="676"/>
      <c r="AG65" s="440"/>
      <c r="AH65" s="440"/>
      <c r="AI65" s="440"/>
      <c r="AJ65" s="652"/>
      <c r="AK65" s="677"/>
      <c r="AL65" s="441"/>
      <c r="AM65" s="675"/>
      <c r="AN65" s="676"/>
      <c r="AO65" s="676"/>
      <c r="AP65" s="440"/>
      <c r="AQ65" s="677"/>
    </row>
    <row r="66" spans="1:43" x14ac:dyDescent="0.25">
      <c r="A66" s="670"/>
      <c r="B66" s="671" t="s">
        <v>481</v>
      </c>
      <c r="C66" s="661"/>
      <c r="D66" s="662"/>
      <c r="E66" s="662"/>
      <c r="F66" s="662"/>
      <c r="G66" s="662"/>
      <c r="H66" s="662"/>
      <c r="I66" s="662"/>
      <c r="J66" s="662"/>
      <c r="K66" s="662"/>
      <c r="L66" s="662"/>
      <c r="M66" s="662"/>
      <c r="N66" s="663"/>
      <c r="O66" s="662"/>
      <c r="P66" s="662"/>
      <c r="Q66" s="662"/>
      <c r="R66" s="662"/>
      <c r="S66" s="662"/>
      <c r="T66" s="662"/>
      <c r="U66" s="662"/>
      <c r="V66" s="662"/>
      <c r="W66" s="662"/>
      <c r="X66" s="662"/>
      <c r="Y66" s="663"/>
      <c r="Z66" s="672"/>
      <c r="AA66" s="673"/>
      <c r="AB66" s="673"/>
      <c r="AC66" s="674"/>
      <c r="AD66" s="675"/>
      <c r="AE66" s="676"/>
      <c r="AF66" s="676"/>
      <c r="AG66" s="440"/>
      <c r="AH66" s="440"/>
      <c r="AI66" s="440"/>
      <c r="AJ66" s="652"/>
      <c r="AK66" s="677"/>
      <c r="AL66" s="441"/>
      <c r="AM66" s="675"/>
      <c r="AN66" s="676"/>
      <c r="AO66" s="676"/>
      <c r="AP66" s="440"/>
      <c r="AQ66" s="677"/>
    </row>
    <row r="67" spans="1:43" x14ac:dyDescent="0.25">
      <c r="A67" s="670"/>
      <c r="B67" s="671" t="s">
        <v>486</v>
      </c>
      <c r="C67" s="661"/>
      <c r="D67" s="662"/>
      <c r="E67" s="662"/>
      <c r="F67" s="662"/>
      <c r="G67" s="662"/>
      <c r="H67" s="662"/>
      <c r="I67" s="662"/>
      <c r="J67" s="662"/>
      <c r="K67" s="662"/>
      <c r="L67" s="662"/>
      <c r="M67" s="662"/>
      <c r="N67" s="663"/>
      <c r="O67" s="662"/>
      <c r="P67" s="662"/>
      <c r="Q67" s="662"/>
      <c r="R67" s="662"/>
      <c r="S67" s="662"/>
      <c r="T67" s="662"/>
      <c r="U67" s="662"/>
      <c r="V67" s="662"/>
      <c r="W67" s="662"/>
      <c r="X67" s="662"/>
      <c r="Y67" s="663"/>
      <c r="Z67" s="672"/>
      <c r="AA67" s="673"/>
      <c r="AB67" s="673"/>
      <c r="AC67" s="674"/>
      <c r="AD67" s="675"/>
      <c r="AE67" s="676"/>
      <c r="AF67" s="676"/>
      <c r="AG67" s="440"/>
      <c r="AH67" s="440"/>
      <c r="AI67" s="440"/>
      <c r="AJ67" s="652"/>
      <c r="AK67" s="677"/>
      <c r="AL67" s="441"/>
      <c r="AM67" s="675"/>
      <c r="AN67" s="676"/>
      <c r="AO67" s="676"/>
      <c r="AP67" s="440"/>
      <c r="AQ67" s="677"/>
    </row>
    <row r="68" spans="1:43" ht="24" x14ac:dyDescent="0.25">
      <c r="A68" s="670"/>
      <c r="B68" s="671" t="s">
        <v>482</v>
      </c>
      <c r="C68" s="661"/>
      <c r="D68" s="662"/>
      <c r="E68" s="662"/>
      <c r="F68" s="662"/>
      <c r="G68" s="662"/>
      <c r="H68" s="662"/>
      <c r="I68" s="662"/>
      <c r="J68" s="662"/>
      <c r="K68" s="662"/>
      <c r="L68" s="662"/>
      <c r="M68" s="662"/>
      <c r="N68" s="663"/>
      <c r="O68" s="662"/>
      <c r="P68" s="662"/>
      <c r="Q68" s="662"/>
      <c r="R68" s="662"/>
      <c r="S68" s="662"/>
      <c r="T68" s="662"/>
      <c r="U68" s="662"/>
      <c r="V68" s="662"/>
      <c r="W68" s="662"/>
      <c r="X68" s="662"/>
      <c r="Y68" s="663"/>
      <c r="Z68" s="672"/>
      <c r="AA68" s="673"/>
      <c r="AB68" s="673"/>
      <c r="AC68" s="674"/>
      <c r="AD68" s="675"/>
      <c r="AE68" s="676"/>
      <c r="AF68" s="676"/>
      <c r="AG68" s="440"/>
      <c r="AH68" s="440"/>
      <c r="AI68" s="440"/>
      <c r="AJ68" s="652"/>
      <c r="AK68" s="677"/>
      <c r="AL68" s="441"/>
      <c r="AM68" s="675"/>
      <c r="AN68" s="676"/>
      <c r="AO68" s="676"/>
      <c r="AP68" s="440"/>
      <c r="AQ68" s="677"/>
    </row>
    <row r="69" spans="1:43" x14ac:dyDescent="0.25">
      <c r="A69" s="670"/>
      <c r="B69" s="671" t="s">
        <v>487</v>
      </c>
      <c r="C69" s="661"/>
      <c r="D69" s="662"/>
      <c r="E69" s="662"/>
      <c r="F69" s="662"/>
      <c r="G69" s="662"/>
      <c r="H69" s="662"/>
      <c r="I69" s="662"/>
      <c r="J69" s="662"/>
      <c r="K69" s="662"/>
      <c r="L69" s="662"/>
      <c r="M69" s="662"/>
      <c r="N69" s="663"/>
      <c r="O69" s="662"/>
      <c r="P69" s="662"/>
      <c r="Q69" s="662"/>
      <c r="R69" s="662"/>
      <c r="S69" s="662"/>
      <c r="T69" s="662"/>
      <c r="U69" s="662"/>
      <c r="V69" s="662"/>
      <c r="W69" s="662"/>
      <c r="X69" s="662"/>
      <c r="Y69" s="663"/>
      <c r="Z69" s="672"/>
      <c r="AA69" s="673"/>
      <c r="AB69" s="673"/>
      <c r="AC69" s="674"/>
      <c r="AD69" s="675"/>
      <c r="AE69" s="676"/>
      <c r="AF69" s="676"/>
      <c r="AG69" s="440"/>
      <c r="AH69" s="440"/>
      <c r="AI69" s="440"/>
      <c r="AJ69" s="652"/>
      <c r="AK69" s="677"/>
      <c r="AL69" s="441"/>
      <c r="AM69" s="675"/>
      <c r="AN69" s="676"/>
      <c r="AO69" s="676"/>
      <c r="AP69" s="440"/>
      <c r="AQ69" s="677"/>
    </row>
    <row r="70" spans="1:43" x14ac:dyDescent="0.25">
      <c r="A70" s="670"/>
      <c r="B70" s="671" t="s">
        <v>483</v>
      </c>
      <c r="C70" s="661"/>
      <c r="D70" s="662"/>
      <c r="E70" s="662"/>
      <c r="F70" s="662"/>
      <c r="G70" s="662"/>
      <c r="H70" s="662"/>
      <c r="I70" s="662"/>
      <c r="J70" s="662"/>
      <c r="K70" s="662"/>
      <c r="L70" s="662"/>
      <c r="M70" s="662"/>
      <c r="N70" s="663"/>
      <c r="O70" s="662"/>
      <c r="P70" s="662"/>
      <c r="Q70" s="662"/>
      <c r="R70" s="662"/>
      <c r="S70" s="662"/>
      <c r="T70" s="662"/>
      <c r="U70" s="662"/>
      <c r="V70" s="662"/>
      <c r="W70" s="662"/>
      <c r="X70" s="662"/>
      <c r="Y70" s="663"/>
      <c r="Z70" s="672"/>
      <c r="AA70" s="673"/>
      <c r="AB70" s="673"/>
      <c r="AC70" s="674"/>
      <c r="AD70" s="675"/>
      <c r="AE70" s="676"/>
      <c r="AF70" s="676"/>
      <c r="AG70" s="440"/>
      <c r="AH70" s="440"/>
      <c r="AI70" s="440"/>
      <c r="AJ70" s="652"/>
      <c r="AK70" s="677"/>
      <c r="AL70" s="441"/>
      <c r="AM70" s="675"/>
      <c r="AN70" s="676"/>
      <c r="AO70" s="676"/>
      <c r="AP70" s="440"/>
      <c r="AQ70" s="677"/>
    </row>
    <row r="71" spans="1:43" ht="39.6" customHeight="1" x14ac:dyDescent="0.25">
      <c r="A71" s="670"/>
      <c r="B71" s="671" t="s">
        <v>484</v>
      </c>
      <c r="C71" s="661"/>
      <c r="D71" s="662"/>
      <c r="E71" s="662"/>
      <c r="F71" s="662"/>
      <c r="G71" s="662"/>
      <c r="H71" s="662"/>
      <c r="I71" s="662"/>
      <c r="J71" s="662"/>
      <c r="K71" s="662"/>
      <c r="L71" s="662"/>
      <c r="M71" s="662"/>
      <c r="N71" s="663"/>
      <c r="O71" s="662"/>
      <c r="P71" s="662"/>
      <c r="Q71" s="662"/>
      <c r="R71" s="662"/>
      <c r="S71" s="662"/>
      <c r="T71" s="662"/>
      <c r="U71" s="662"/>
      <c r="V71" s="662"/>
      <c r="W71" s="662"/>
      <c r="X71" s="662"/>
      <c r="Y71" s="663"/>
      <c r="Z71" s="672"/>
      <c r="AA71" s="673"/>
      <c r="AB71" s="673"/>
      <c r="AC71" s="674"/>
      <c r="AD71" s="675"/>
      <c r="AE71" s="676"/>
      <c r="AF71" s="676"/>
      <c r="AG71" s="440"/>
      <c r="AH71" s="440"/>
      <c r="AI71" s="440"/>
      <c r="AJ71" s="652"/>
      <c r="AK71" s="677"/>
      <c r="AL71" s="441"/>
      <c r="AM71" s="675"/>
      <c r="AN71" s="676"/>
      <c r="AO71" s="676"/>
      <c r="AP71" s="440"/>
      <c r="AQ71" s="677"/>
    </row>
    <row r="72" spans="1:43" ht="24" x14ac:dyDescent="0.25">
      <c r="A72" s="678"/>
      <c r="B72" s="679" t="s">
        <v>425</v>
      </c>
      <c r="C72" s="249"/>
      <c r="D72" s="250"/>
      <c r="E72" s="250"/>
      <c r="F72" s="250"/>
      <c r="G72" s="250"/>
      <c r="H72" s="250"/>
      <c r="I72" s="250"/>
      <c r="J72" s="250"/>
      <c r="K72" s="250"/>
      <c r="L72" s="250"/>
      <c r="M72" s="250"/>
      <c r="N72" s="251"/>
      <c r="O72" s="250"/>
      <c r="P72" s="250"/>
      <c r="Q72" s="250"/>
      <c r="R72" s="250"/>
      <c r="S72" s="250"/>
      <c r="T72" s="250"/>
      <c r="U72" s="250"/>
      <c r="V72" s="250"/>
      <c r="W72" s="250"/>
      <c r="X72" s="250"/>
      <c r="Y72" s="251"/>
      <c r="Z72" s="655"/>
      <c r="AA72" s="656"/>
      <c r="AB72" s="656"/>
      <c r="AC72" s="657"/>
      <c r="AD72" s="680"/>
      <c r="AE72" s="681"/>
      <c r="AF72" s="681"/>
      <c r="AG72" s="440"/>
      <c r="AH72" s="440"/>
      <c r="AI72" s="440"/>
      <c r="AJ72" s="652"/>
      <c r="AK72" s="658"/>
      <c r="AL72" s="441"/>
      <c r="AM72" s="680"/>
      <c r="AN72" s="681"/>
      <c r="AO72" s="681"/>
      <c r="AP72" s="440"/>
      <c r="AQ72" s="658"/>
    </row>
    <row r="73" spans="1:43" ht="15" customHeight="1" x14ac:dyDescent="0.25">
      <c r="A73" s="659" t="s">
        <v>691</v>
      </c>
      <c r="B73" s="660" t="s">
        <v>402</v>
      </c>
      <c r="C73" s="683"/>
      <c r="D73" s="684"/>
      <c r="E73" s="684"/>
      <c r="F73" s="684"/>
      <c r="G73" s="684"/>
      <c r="H73" s="684"/>
      <c r="I73" s="684"/>
      <c r="J73" s="684"/>
      <c r="K73" s="684"/>
      <c r="L73" s="684" t="s">
        <v>696</v>
      </c>
      <c r="M73" s="684" t="s">
        <v>696</v>
      </c>
      <c r="N73" s="685" t="s">
        <v>696</v>
      </c>
      <c r="O73" s="684" t="s">
        <v>696</v>
      </c>
      <c r="P73" s="684" t="s">
        <v>696</v>
      </c>
      <c r="Q73" s="684" t="s">
        <v>696</v>
      </c>
      <c r="R73" s="684" t="s">
        <v>696</v>
      </c>
      <c r="S73" s="684" t="s">
        <v>696</v>
      </c>
      <c r="T73" s="684" t="s">
        <v>696</v>
      </c>
      <c r="U73" s="684" t="s">
        <v>696</v>
      </c>
      <c r="V73" s="684" t="s">
        <v>696</v>
      </c>
      <c r="W73" s="684" t="s">
        <v>696</v>
      </c>
      <c r="X73" s="684" t="s">
        <v>696</v>
      </c>
      <c r="Y73" s="685"/>
      <c r="Z73" s="686"/>
      <c r="AA73" s="687"/>
      <c r="AB73" s="687"/>
      <c r="AC73" s="688"/>
      <c r="AD73" s="667">
        <v>402</v>
      </c>
      <c r="AE73" s="668">
        <v>490</v>
      </c>
      <c r="AF73" s="963">
        <v>960</v>
      </c>
      <c r="AG73" s="964">
        <f t="shared" si="0"/>
        <v>385920</v>
      </c>
      <c r="AH73" s="964">
        <f t="shared" si="1"/>
        <v>470400</v>
      </c>
      <c r="AI73" s="964">
        <f t="shared" si="2"/>
        <v>84480</v>
      </c>
      <c r="AJ73" s="965">
        <v>52000</v>
      </c>
      <c r="AK73" s="689"/>
      <c r="AL73" s="667"/>
      <c r="AM73" s="667"/>
      <c r="AN73" s="668"/>
      <c r="AO73" s="668"/>
      <c r="AP73" s="440">
        <f t="shared" si="3"/>
        <v>0</v>
      </c>
      <c r="AQ73" s="689"/>
    </row>
    <row r="74" spans="1:43" ht="48" x14ac:dyDescent="0.25">
      <c r="A74" s="670"/>
      <c r="B74" s="671" t="s">
        <v>485</v>
      </c>
      <c r="C74" s="661"/>
      <c r="D74" s="662"/>
      <c r="E74" s="662"/>
      <c r="F74" s="662"/>
      <c r="G74" s="662"/>
      <c r="H74" s="662"/>
      <c r="I74" s="662"/>
      <c r="J74" s="662"/>
      <c r="K74" s="662"/>
      <c r="L74" s="662"/>
      <c r="M74" s="662"/>
      <c r="N74" s="663"/>
      <c r="O74" s="662"/>
      <c r="P74" s="662"/>
      <c r="Q74" s="662"/>
      <c r="R74" s="662"/>
      <c r="S74" s="662"/>
      <c r="T74" s="662"/>
      <c r="U74" s="662"/>
      <c r="V74" s="662"/>
      <c r="W74" s="662"/>
      <c r="X74" s="662"/>
      <c r="Y74" s="663"/>
      <c r="Z74" s="672"/>
      <c r="AA74" s="673"/>
      <c r="AB74" s="673"/>
      <c r="AC74" s="674"/>
      <c r="AD74" s="675"/>
      <c r="AE74" s="676"/>
      <c r="AF74" s="676"/>
      <c r="AG74" s="440"/>
      <c r="AH74" s="440"/>
      <c r="AI74" s="440"/>
      <c r="AJ74" s="652"/>
      <c r="AK74" s="677"/>
      <c r="AL74" s="675"/>
      <c r="AM74" s="675"/>
      <c r="AN74" s="676"/>
      <c r="AO74" s="676"/>
      <c r="AP74" s="440"/>
      <c r="AQ74" s="677"/>
    </row>
    <row r="75" spans="1:43" ht="48" x14ac:dyDescent="0.25">
      <c r="A75" s="678"/>
      <c r="B75" s="679" t="s">
        <v>403</v>
      </c>
      <c r="C75" s="249"/>
      <c r="D75" s="250"/>
      <c r="E75" s="250"/>
      <c r="F75" s="250"/>
      <c r="G75" s="250"/>
      <c r="H75" s="250"/>
      <c r="I75" s="250"/>
      <c r="J75" s="250"/>
      <c r="K75" s="250"/>
      <c r="L75" s="250"/>
      <c r="M75" s="250"/>
      <c r="N75" s="251"/>
      <c r="O75" s="250"/>
      <c r="P75" s="250"/>
      <c r="Q75" s="250"/>
      <c r="R75" s="250"/>
      <c r="S75" s="250"/>
      <c r="T75" s="250"/>
      <c r="U75" s="250"/>
      <c r="V75" s="250"/>
      <c r="W75" s="250"/>
      <c r="X75" s="250"/>
      <c r="Y75" s="251"/>
      <c r="Z75" s="655"/>
      <c r="AA75" s="656"/>
      <c r="AB75" s="656"/>
      <c r="AC75" s="657"/>
      <c r="AD75" s="680"/>
      <c r="AE75" s="681"/>
      <c r="AF75" s="681"/>
      <c r="AG75" s="440"/>
      <c r="AH75" s="440"/>
      <c r="AI75" s="440"/>
      <c r="AJ75" s="652"/>
      <c r="AK75" s="658"/>
      <c r="AL75" s="680"/>
      <c r="AM75" s="680"/>
      <c r="AN75" s="681"/>
      <c r="AO75" s="681"/>
      <c r="AP75" s="440"/>
      <c r="AQ75" s="658"/>
    </row>
    <row r="76" spans="1:43" ht="15" customHeight="1" x14ac:dyDescent="0.25">
      <c r="A76" s="659" t="s">
        <v>692</v>
      </c>
      <c r="B76" s="660" t="s">
        <v>417</v>
      </c>
      <c r="C76" s="683"/>
      <c r="D76" s="684"/>
      <c r="E76" s="684"/>
      <c r="F76" s="684"/>
      <c r="G76" s="684"/>
      <c r="H76" s="684"/>
      <c r="I76" s="684"/>
      <c r="J76" s="684"/>
      <c r="K76" s="684" t="s">
        <v>696</v>
      </c>
      <c r="L76" s="684" t="s">
        <v>696</v>
      </c>
      <c r="M76" s="684" t="s">
        <v>696</v>
      </c>
      <c r="N76" s="685" t="s">
        <v>696</v>
      </c>
      <c r="O76" s="684" t="s">
        <v>696</v>
      </c>
      <c r="P76" s="684" t="s">
        <v>696</v>
      </c>
      <c r="Q76" s="684" t="s">
        <v>696</v>
      </c>
      <c r="R76" s="684" t="s">
        <v>696</v>
      </c>
      <c r="S76" s="684" t="s">
        <v>696</v>
      </c>
      <c r="T76" s="684" t="s">
        <v>696</v>
      </c>
      <c r="U76" s="684" t="s">
        <v>696</v>
      </c>
      <c r="V76" s="684" t="s">
        <v>696</v>
      </c>
      <c r="W76" s="684" t="s">
        <v>696</v>
      </c>
      <c r="X76" s="684" t="s">
        <v>696</v>
      </c>
      <c r="Y76" s="685" t="s">
        <v>696</v>
      </c>
      <c r="Z76" s="686"/>
      <c r="AA76" s="687"/>
      <c r="AB76" s="687"/>
      <c r="AC76" s="688"/>
      <c r="AD76" s="667">
        <v>370</v>
      </c>
      <c r="AE76" s="668">
        <v>430</v>
      </c>
      <c r="AF76" s="963">
        <v>960</v>
      </c>
      <c r="AG76" s="964">
        <f t="shared" si="0"/>
        <v>355200</v>
      </c>
      <c r="AH76" s="964">
        <f t="shared" si="1"/>
        <v>412800</v>
      </c>
      <c r="AI76" s="964">
        <f t="shared" si="2"/>
        <v>57600</v>
      </c>
      <c r="AJ76" s="965">
        <v>32000</v>
      </c>
      <c r="AK76" s="689"/>
      <c r="AL76" s="667"/>
      <c r="AM76" s="667"/>
      <c r="AN76" s="668"/>
      <c r="AO76" s="668"/>
      <c r="AP76" s="440">
        <f t="shared" si="3"/>
        <v>0</v>
      </c>
      <c r="AQ76" s="689"/>
    </row>
    <row r="77" spans="1:43" ht="36" x14ac:dyDescent="0.25">
      <c r="A77" s="670"/>
      <c r="B77" s="671" t="s">
        <v>418</v>
      </c>
      <c r="C77" s="661"/>
      <c r="D77" s="662"/>
      <c r="E77" s="662"/>
      <c r="F77" s="662"/>
      <c r="G77" s="662"/>
      <c r="H77" s="662"/>
      <c r="I77" s="662"/>
      <c r="J77" s="662"/>
      <c r="K77" s="662"/>
      <c r="L77" s="662"/>
      <c r="M77" s="662"/>
      <c r="N77" s="663"/>
      <c r="O77" s="662"/>
      <c r="P77" s="662"/>
      <c r="Q77" s="662"/>
      <c r="R77" s="662"/>
      <c r="S77" s="662"/>
      <c r="T77" s="662"/>
      <c r="U77" s="662"/>
      <c r="V77" s="662"/>
      <c r="W77" s="662"/>
      <c r="X77" s="662"/>
      <c r="Y77" s="663"/>
      <c r="Z77" s="672"/>
      <c r="AA77" s="673"/>
      <c r="AB77" s="673"/>
      <c r="AC77" s="674"/>
      <c r="AD77" s="675"/>
      <c r="AE77" s="676"/>
      <c r="AF77" s="676"/>
      <c r="AG77" s="440"/>
      <c r="AH77" s="440"/>
      <c r="AI77" s="440"/>
      <c r="AJ77" s="652"/>
      <c r="AK77" s="677"/>
      <c r="AL77" s="675"/>
      <c r="AM77" s="675"/>
      <c r="AN77" s="676"/>
      <c r="AO77" s="676"/>
      <c r="AP77" s="440"/>
      <c r="AQ77" s="677"/>
    </row>
    <row r="78" spans="1:43" x14ac:dyDescent="0.25">
      <c r="A78" s="670"/>
      <c r="B78" s="671" t="s">
        <v>466</v>
      </c>
      <c r="C78" s="661"/>
      <c r="D78" s="662"/>
      <c r="E78" s="662"/>
      <c r="F78" s="662"/>
      <c r="G78" s="662"/>
      <c r="H78" s="662"/>
      <c r="I78" s="662"/>
      <c r="J78" s="662"/>
      <c r="K78" s="662"/>
      <c r="L78" s="662"/>
      <c r="M78" s="662"/>
      <c r="N78" s="663"/>
      <c r="O78" s="662"/>
      <c r="P78" s="662"/>
      <c r="Q78" s="662"/>
      <c r="R78" s="662"/>
      <c r="S78" s="662"/>
      <c r="T78" s="662"/>
      <c r="U78" s="662"/>
      <c r="V78" s="662"/>
      <c r="W78" s="662"/>
      <c r="X78" s="662"/>
      <c r="Y78" s="663"/>
      <c r="Z78" s="672"/>
      <c r="AA78" s="673"/>
      <c r="AB78" s="673"/>
      <c r="AC78" s="674"/>
      <c r="AD78" s="675"/>
      <c r="AE78" s="676"/>
      <c r="AF78" s="676"/>
      <c r="AG78" s="440"/>
      <c r="AH78" s="440"/>
      <c r="AI78" s="440"/>
      <c r="AJ78" s="652"/>
      <c r="AK78" s="677"/>
      <c r="AL78" s="675"/>
      <c r="AM78" s="675"/>
      <c r="AN78" s="676"/>
      <c r="AO78" s="676"/>
      <c r="AP78" s="440"/>
      <c r="AQ78" s="677"/>
    </row>
    <row r="79" spans="1:43" x14ac:dyDescent="0.25">
      <c r="A79" s="670"/>
      <c r="B79" s="671" t="s">
        <v>467</v>
      </c>
      <c r="C79" s="661"/>
      <c r="D79" s="662"/>
      <c r="E79" s="662"/>
      <c r="F79" s="662"/>
      <c r="G79" s="662"/>
      <c r="H79" s="662"/>
      <c r="I79" s="662"/>
      <c r="J79" s="662"/>
      <c r="K79" s="662"/>
      <c r="L79" s="662"/>
      <c r="M79" s="662"/>
      <c r="N79" s="663"/>
      <c r="O79" s="662"/>
      <c r="P79" s="662"/>
      <c r="Q79" s="662"/>
      <c r="R79" s="662"/>
      <c r="S79" s="662"/>
      <c r="T79" s="662"/>
      <c r="U79" s="662"/>
      <c r="V79" s="662"/>
      <c r="W79" s="662"/>
      <c r="X79" s="662"/>
      <c r="Y79" s="663"/>
      <c r="Z79" s="672"/>
      <c r="AA79" s="673"/>
      <c r="AB79" s="673"/>
      <c r="AC79" s="674"/>
      <c r="AD79" s="675"/>
      <c r="AE79" s="676"/>
      <c r="AF79" s="676"/>
      <c r="AG79" s="440"/>
      <c r="AH79" s="440"/>
      <c r="AI79" s="440"/>
      <c r="AJ79" s="652"/>
      <c r="AK79" s="677"/>
      <c r="AL79" s="675"/>
      <c r="AM79" s="675"/>
      <c r="AN79" s="676"/>
      <c r="AO79" s="676"/>
      <c r="AP79" s="440"/>
      <c r="AQ79" s="677"/>
    </row>
    <row r="80" spans="1:43" x14ac:dyDescent="0.25">
      <c r="A80" s="670"/>
      <c r="B80" s="671" t="s">
        <v>468</v>
      </c>
      <c r="C80" s="661"/>
      <c r="D80" s="662"/>
      <c r="E80" s="662"/>
      <c r="F80" s="662"/>
      <c r="G80" s="662"/>
      <c r="H80" s="662"/>
      <c r="I80" s="662"/>
      <c r="J80" s="662"/>
      <c r="K80" s="662"/>
      <c r="L80" s="662"/>
      <c r="M80" s="662"/>
      <c r="N80" s="663"/>
      <c r="O80" s="662"/>
      <c r="P80" s="662"/>
      <c r="Q80" s="662"/>
      <c r="R80" s="662"/>
      <c r="S80" s="662"/>
      <c r="T80" s="662"/>
      <c r="U80" s="662"/>
      <c r="V80" s="662"/>
      <c r="W80" s="662"/>
      <c r="X80" s="662"/>
      <c r="Y80" s="663"/>
      <c r="Z80" s="672"/>
      <c r="AA80" s="673"/>
      <c r="AB80" s="673"/>
      <c r="AC80" s="674"/>
      <c r="AD80" s="675"/>
      <c r="AE80" s="676"/>
      <c r="AF80" s="676"/>
      <c r="AG80" s="440"/>
      <c r="AH80" s="440"/>
      <c r="AI80" s="440"/>
      <c r="AJ80" s="652"/>
      <c r="AK80" s="677"/>
      <c r="AL80" s="675"/>
      <c r="AM80" s="675"/>
      <c r="AN80" s="676"/>
      <c r="AO80" s="676"/>
      <c r="AP80" s="440"/>
      <c r="AQ80" s="677"/>
    </row>
    <row r="81" spans="1:43" x14ac:dyDescent="0.25">
      <c r="A81" s="670"/>
      <c r="B81" s="671" t="s">
        <v>469</v>
      </c>
      <c r="C81" s="661"/>
      <c r="D81" s="662"/>
      <c r="E81" s="662"/>
      <c r="F81" s="662"/>
      <c r="G81" s="662"/>
      <c r="H81" s="662"/>
      <c r="I81" s="662"/>
      <c r="J81" s="662"/>
      <c r="K81" s="662"/>
      <c r="L81" s="662"/>
      <c r="M81" s="662"/>
      <c r="N81" s="663"/>
      <c r="O81" s="662"/>
      <c r="P81" s="662"/>
      <c r="Q81" s="662"/>
      <c r="R81" s="662"/>
      <c r="S81" s="662"/>
      <c r="T81" s="662"/>
      <c r="U81" s="662"/>
      <c r="V81" s="662"/>
      <c r="W81" s="662"/>
      <c r="X81" s="662"/>
      <c r="Y81" s="663"/>
      <c r="Z81" s="672"/>
      <c r="AA81" s="673"/>
      <c r="AB81" s="673"/>
      <c r="AC81" s="674"/>
      <c r="AD81" s="675"/>
      <c r="AE81" s="676"/>
      <c r="AF81" s="676"/>
      <c r="AG81" s="440"/>
      <c r="AH81" s="440"/>
      <c r="AI81" s="440"/>
      <c r="AJ81" s="652"/>
      <c r="AK81" s="677"/>
      <c r="AL81" s="675"/>
      <c r="AM81" s="675"/>
      <c r="AN81" s="676"/>
      <c r="AO81" s="676"/>
      <c r="AP81" s="440"/>
      <c r="AQ81" s="677"/>
    </row>
    <row r="82" spans="1:43" x14ac:dyDescent="0.25">
      <c r="A82" s="670"/>
      <c r="B82" s="671" t="s">
        <v>470</v>
      </c>
      <c r="C82" s="661"/>
      <c r="D82" s="662"/>
      <c r="E82" s="662"/>
      <c r="F82" s="662"/>
      <c r="G82" s="662"/>
      <c r="H82" s="662"/>
      <c r="I82" s="662"/>
      <c r="J82" s="662"/>
      <c r="K82" s="662"/>
      <c r="L82" s="662"/>
      <c r="M82" s="662"/>
      <c r="N82" s="663"/>
      <c r="O82" s="662"/>
      <c r="P82" s="662"/>
      <c r="Q82" s="662"/>
      <c r="R82" s="662"/>
      <c r="S82" s="662"/>
      <c r="T82" s="662"/>
      <c r="U82" s="662"/>
      <c r="V82" s="662"/>
      <c r="W82" s="662"/>
      <c r="X82" s="662"/>
      <c r="Y82" s="663"/>
      <c r="Z82" s="672"/>
      <c r="AA82" s="673"/>
      <c r="AB82" s="673"/>
      <c r="AC82" s="674"/>
      <c r="AD82" s="675"/>
      <c r="AE82" s="676"/>
      <c r="AF82" s="676"/>
      <c r="AG82" s="440"/>
      <c r="AH82" s="440"/>
      <c r="AI82" s="440"/>
      <c r="AJ82" s="652"/>
      <c r="AK82" s="677"/>
      <c r="AL82" s="675"/>
      <c r="AM82" s="675"/>
      <c r="AN82" s="676"/>
      <c r="AO82" s="676"/>
      <c r="AP82" s="440"/>
      <c r="AQ82" s="677"/>
    </row>
    <row r="83" spans="1:43" x14ac:dyDescent="0.25">
      <c r="A83" s="670"/>
      <c r="B83" s="671" t="s">
        <v>471</v>
      </c>
      <c r="C83" s="661"/>
      <c r="D83" s="662"/>
      <c r="E83" s="662"/>
      <c r="F83" s="662"/>
      <c r="G83" s="662"/>
      <c r="H83" s="662"/>
      <c r="I83" s="662"/>
      <c r="J83" s="662"/>
      <c r="K83" s="662"/>
      <c r="L83" s="662"/>
      <c r="M83" s="662"/>
      <c r="N83" s="663"/>
      <c r="O83" s="662"/>
      <c r="P83" s="662"/>
      <c r="Q83" s="662"/>
      <c r="R83" s="662"/>
      <c r="S83" s="662"/>
      <c r="T83" s="662"/>
      <c r="U83" s="662"/>
      <c r="V83" s="662"/>
      <c r="W83" s="662"/>
      <c r="X83" s="662"/>
      <c r="Y83" s="663"/>
      <c r="Z83" s="672"/>
      <c r="AA83" s="673"/>
      <c r="AB83" s="673"/>
      <c r="AC83" s="674"/>
      <c r="AD83" s="675"/>
      <c r="AE83" s="676"/>
      <c r="AF83" s="676"/>
      <c r="AG83" s="440"/>
      <c r="AH83" s="440"/>
      <c r="AI83" s="440"/>
      <c r="AJ83" s="652"/>
      <c r="AK83" s="677"/>
      <c r="AL83" s="675"/>
      <c r="AM83" s="675"/>
      <c r="AN83" s="676"/>
      <c r="AO83" s="676"/>
      <c r="AP83" s="440"/>
      <c r="AQ83" s="677"/>
    </row>
    <row r="84" spans="1:43" x14ac:dyDescent="0.25">
      <c r="A84" s="670"/>
      <c r="B84" s="671" t="s">
        <v>472</v>
      </c>
      <c r="C84" s="661"/>
      <c r="D84" s="662"/>
      <c r="E84" s="662"/>
      <c r="F84" s="662"/>
      <c r="G84" s="662"/>
      <c r="H84" s="662"/>
      <c r="I84" s="662"/>
      <c r="J84" s="662"/>
      <c r="K84" s="662"/>
      <c r="L84" s="662"/>
      <c r="M84" s="662"/>
      <c r="N84" s="663"/>
      <c r="O84" s="662"/>
      <c r="P84" s="662"/>
      <c r="Q84" s="662"/>
      <c r="R84" s="662"/>
      <c r="S84" s="662"/>
      <c r="T84" s="662"/>
      <c r="U84" s="662"/>
      <c r="V84" s="662"/>
      <c r="W84" s="662"/>
      <c r="X84" s="662"/>
      <c r="Y84" s="663"/>
      <c r="Z84" s="672"/>
      <c r="AA84" s="673"/>
      <c r="AB84" s="673"/>
      <c r="AC84" s="674"/>
      <c r="AD84" s="675"/>
      <c r="AE84" s="676"/>
      <c r="AF84" s="676"/>
      <c r="AG84" s="440"/>
      <c r="AH84" s="440"/>
      <c r="AI84" s="440"/>
      <c r="AJ84" s="652"/>
      <c r="AK84" s="677"/>
      <c r="AL84" s="675"/>
      <c r="AM84" s="675"/>
      <c r="AN84" s="676"/>
      <c r="AO84" s="676"/>
      <c r="AP84" s="440"/>
      <c r="AQ84" s="677"/>
    </row>
    <row r="85" spans="1:43" x14ac:dyDescent="0.25">
      <c r="A85" s="670"/>
      <c r="B85" s="671" t="s">
        <v>473</v>
      </c>
      <c r="C85" s="661"/>
      <c r="D85" s="662"/>
      <c r="E85" s="662"/>
      <c r="F85" s="662"/>
      <c r="G85" s="662"/>
      <c r="H85" s="662"/>
      <c r="I85" s="662"/>
      <c r="J85" s="662"/>
      <c r="K85" s="662"/>
      <c r="L85" s="662"/>
      <c r="M85" s="662"/>
      <c r="N85" s="663"/>
      <c r="O85" s="662"/>
      <c r="P85" s="662"/>
      <c r="Q85" s="662"/>
      <c r="R85" s="662"/>
      <c r="S85" s="662"/>
      <c r="T85" s="662"/>
      <c r="U85" s="662"/>
      <c r="V85" s="662"/>
      <c r="W85" s="662"/>
      <c r="X85" s="662"/>
      <c r="Y85" s="663"/>
      <c r="Z85" s="672"/>
      <c r="AA85" s="673"/>
      <c r="AB85" s="673"/>
      <c r="AC85" s="674"/>
      <c r="AD85" s="675"/>
      <c r="AE85" s="676"/>
      <c r="AF85" s="676"/>
      <c r="AG85" s="440"/>
      <c r="AH85" s="440"/>
      <c r="AI85" s="440"/>
      <c r="AJ85" s="652"/>
      <c r="AK85" s="677"/>
      <c r="AL85" s="675"/>
      <c r="AM85" s="675"/>
      <c r="AN85" s="676"/>
      <c r="AO85" s="676"/>
      <c r="AP85" s="440"/>
      <c r="AQ85" s="677"/>
    </row>
    <row r="86" spans="1:43" x14ac:dyDescent="0.25">
      <c r="A86" s="678"/>
      <c r="B86" s="679" t="s">
        <v>474</v>
      </c>
      <c r="C86" s="249"/>
      <c r="D86" s="250"/>
      <c r="E86" s="250"/>
      <c r="F86" s="250"/>
      <c r="G86" s="250"/>
      <c r="H86" s="250"/>
      <c r="I86" s="250"/>
      <c r="J86" s="250"/>
      <c r="K86" s="250"/>
      <c r="L86" s="250"/>
      <c r="M86" s="250"/>
      <c r="N86" s="251"/>
      <c r="O86" s="250"/>
      <c r="P86" s="250"/>
      <c r="Q86" s="250"/>
      <c r="R86" s="250"/>
      <c r="S86" s="250"/>
      <c r="T86" s="250"/>
      <c r="U86" s="250"/>
      <c r="V86" s="250"/>
      <c r="W86" s="250"/>
      <c r="X86" s="250"/>
      <c r="Y86" s="251"/>
      <c r="Z86" s="655"/>
      <c r="AA86" s="656"/>
      <c r="AB86" s="656"/>
      <c r="AC86" s="657"/>
      <c r="AD86" s="680"/>
      <c r="AE86" s="681"/>
      <c r="AF86" s="681"/>
      <c r="AG86" s="440"/>
      <c r="AH86" s="440"/>
      <c r="AI86" s="440"/>
      <c r="AJ86" s="652"/>
      <c r="AK86" s="658"/>
      <c r="AL86" s="680"/>
      <c r="AM86" s="680"/>
      <c r="AN86" s="681"/>
      <c r="AO86" s="681"/>
      <c r="AP86" s="440"/>
      <c r="AQ86" s="658"/>
    </row>
    <row r="87" spans="1:43" ht="96" x14ac:dyDescent="0.25">
      <c r="A87" s="211" t="s">
        <v>693</v>
      </c>
      <c r="B87" s="654" t="s">
        <v>437</v>
      </c>
      <c r="C87" s="252"/>
      <c r="D87" s="253"/>
      <c r="E87" s="253"/>
      <c r="F87" s="253"/>
      <c r="G87" s="253"/>
      <c r="H87" s="253"/>
      <c r="I87" s="253"/>
      <c r="J87" s="253"/>
      <c r="K87" s="253"/>
      <c r="L87" s="253"/>
      <c r="M87" s="253"/>
      <c r="N87" s="254"/>
      <c r="O87" s="253"/>
      <c r="P87" s="253"/>
      <c r="Q87" s="253"/>
      <c r="R87" s="253"/>
      <c r="S87" s="253"/>
      <c r="T87" s="253"/>
      <c r="U87" s="253"/>
      <c r="V87" s="253"/>
      <c r="W87" s="253" t="s">
        <v>696</v>
      </c>
      <c r="X87" s="253" t="s">
        <v>696</v>
      </c>
      <c r="Y87" s="254" t="s">
        <v>696</v>
      </c>
      <c r="Z87" s="478"/>
      <c r="AA87" s="479"/>
      <c r="AB87" s="479"/>
      <c r="AC87" s="480"/>
      <c r="AD87" s="442">
        <v>14</v>
      </c>
      <c r="AE87" s="224">
        <v>25</v>
      </c>
      <c r="AF87" s="963">
        <v>960</v>
      </c>
      <c r="AG87" s="964">
        <f t="shared" si="0"/>
        <v>13440</v>
      </c>
      <c r="AH87" s="964">
        <f t="shared" si="1"/>
        <v>24000</v>
      </c>
      <c r="AI87" s="964">
        <f t="shared" si="2"/>
        <v>10560</v>
      </c>
      <c r="AJ87" s="965">
        <v>1500</v>
      </c>
      <c r="AK87" s="444"/>
      <c r="AL87" s="442"/>
      <c r="AM87" s="442"/>
      <c r="AN87" s="224"/>
      <c r="AO87" s="224"/>
      <c r="AP87" s="440">
        <f t="shared" si="3"/>
        <v>0</v>
      </c>
      <c r="AQ87" s="444"/>
    </row>
    <row r="88" spans="1:43" ht="24" x14ac:dyDescent="0.25">
      <c r="A88" s="659" t="s">
        <v>694</v>
      </c>
      <c r="B88" s="660" t="s">
        <v>438</v>
      </c>
      <c r="C88" s="683"/>
      <c r="D88" s="684"/>
      <c r="E88" s="684"/>
      <c r="F88" s="684"/>
      <c r="G88" s="684"/>
      <c r="H88" s="684"/>
      <c r="I88" s="684"/>
      <c r="J88" s="684" t="s">
        <v>696</v>
      </c>
      <c r="K88" s="684" t="s">
        <v>696</v>
      </c>
      <c r="L88" s="684" t="s">
        <v>696</v>
      </c>
      <c r="M88" s="684" t="s">
        <v>696</v>
      </c>
      <c r="N88" s="685" t="s">
        <v>696</v>
      </c>
      <c r="O88" s="684" t="s">
        <v>696</v>
      </c>
      <c r="P88" s="684" t="s">
        <v>696</v>
      </c>
      <c r="Q88" s="684" t="s">
        <v>696</v>
      </c>
      <c r="R88" s="684" t="s">
        <v>696</v>
      </c>
      <c r="S88" s="684" t="s">
        <v>696</v>
      </c>
      <c r="T88" s="684" t="s">
        <v>696</v>
      </c>
      <c r="U88" s="684" t="s">
        <v>696</v>
      </c>
      <c r="V88" s="684" t="s">
        <v>696</v>
      </c>
      <c r="W88" s="684" t="s">
        <v>696</v>
      </c>
      <c r="X88" s="684" t="s">
        <v>696</v>
      </c>
      <c r="Y88" s="685" t="s">
        <v>696</v>
      </c>
      <c r="Z88" s="686"/>
      <c r="AA88" s="687"/>
      <c r="AB88" s="687"/>
      <c r="AC88" s="688"/>
      <c r="AD88" s="667">
        <v>250</v>
      </c>
      <c r="AE88" s="668">
        <v>315</v>
      </c>
      <c r="AF88" s="963">
        <v>960</v>
      </c>
      <c r="AG88" s="964">
        <f t="shared" si="0"/>
        <v>240000</v>
      </c>
      <c r="AH88" s="964">
        <f t="shared" si="1"/>
        <v>302400</v>
      </c>
      <c r="AI88" s="964">
        <f t="shared" si="2"/>
        <v>62400</v>
      </c>
      <c r="AJ88" s="965">
        <v>35000</v>
      </c>
      <c r="AK88" s="689"/>
      <c r="AL88" s="667"/>
      <c r="AM88" s="667"/>
      <c r="AN88" s="668"/>
      <c r="AO88" s="668"/>
      <c r="AP88" s="440">
        <f t="shared" si="3"/>
        <v>0</v>
      </c>
      <c r="AQ88" s="689"/>
    </row>
    <row r="89" spans="1:43" x14ac:dyDescent="0.25">
      <c r="A89" s="670"/>
      <c r="B89" s="671" t="s">
        <v>464</v>
      </c>
      <c r="C89" s="661"/>
      <c r="D89" s="662"/>
      <c r="E89" s="662"/>
      <c r="F89" s="662"/>
      <c r="G89" s="662"/>
      <c r="H89" s="662"/>
      <c r="I89" s="662"/>
      <c r="J89" s="662"/>
      <c r="K89" s="662"/>
      <c r="L89" s="662"/>
      <c r="M89" s="662"/>
      <c r="N89" s="663"/>
      <c r="O89" s="662"/>
      <c r="P89" s="662"/>
      <c r="Q89" s="662"/>
      <c r="R89" s="662"/>
      <c r="S89" s="662"/>
      <c r="T89" s="662"/>
      <c r="U89" s="662"/>
      <c r="V89" s="662"/>
      <c r="W89" s="662"/>
      <c r="X89" s="662"/>
      <c r="Y89" s="663"/>
      <c r="Z89" s="672"/>
      <c r="AA89" s="673"/>
      <c r="AB89" s="673"/>
      <c r="AC89" s="674"/>
      <c r="AD89" s="675"/>
      <c r="AE89" s="676"/>
      <c r="AF89" s="676"/>
      <c r="AG89" s="440"/>
      <c r="AH89" s="440"/>
      <c r="AI89" s="440"/>
      <c r="AJ89" s="652"/>
      <c r="AK89" s="677"/>
      <c r="AL89" s="675"/>
      <c r="AM89" s="675"/>
      <c r="AN89" s="676"/>
      <c r="AO89" s="676"/>
      <c r="AP89" s="440"/>
      <c r="AQ89" s="677"/>
    </row>
    <row r="90" spans="1:43" x14ac:dyDescent="0.25">
      <c r="A90" s="670"/>
      <c r="B90" s="671" t="s">
        <v>439</v>
      </c>
      <c r="C90" s="661"/>
      <c r="D90" s="662"/>
      <c r="E90" s="662"/>
      <c r="F90" s="662"/>
      <c r="G90" s="662"/>
      <c r="H90" s="662"/>
      <c r="I90" s="662"/>
      <c r="J90" s="662"/>
      <c r="K90" s="662"/>
      <c r="L90" s="662"/>
      <c r="M90" s="662"/>
      <c r="N90" s="663"/>
      <c r="O90" s="662"/>
      <c r="P90" s="662"/>
      <c r="Q90" s="662"/>
      <c r="R90" s="662"/>
      <c r="S90" s="662"/>
      <c r="T90" s="662"/>
      <c r="U90" s="662"/>
      <c r="V90" s="662"/>
      <c r="W90" s="662"/>
      <c r="X90" s="662"/>
      <c r="Y90" s="663"/>
      <c r="Z90" s="672"/>
      <c r="AA90" s="673"/>
      <c r="AB90" s="673"/>
      <c r="AC90" s="674"/>
      <c r="AD90" s="675"/>
      <c r="AE90" s="676"/>
      <c r="AF90" s="676"/>
      <c r="AG90" s="440"/>
      <c r="AH90" s="440"/>
      <c r="AI90" s="440"/>
      <c r="AJ90" s="652"/>
      <c r="AK90" s="677"/>
      <c r="AL90" s="675"/>
      <c r="AM90" s="675"/>
      <c r="AN90" s="676"/>
      <c r="AO90" s="676"/>
      <c r="AP90" s="440"/>
      <c r="AQ90" s="677"/>
    </row>
    <row r="91" spans="1:43" x14ac:dyDescent="0.25">
      <c r="A91" s="670"/>
      <c r="B91" s="671" t="s">
        <v>440</v>
      </c>
      <c r="C91" s="661"/>
      <c r="D91" s="662"/>
      <c r="E91" s="662"/>
      <c r="F91" s="662"/>
      <c r="G91" s="662"/>
      <c r="H91" s="662"/>
      <c r="I91" s="662"/>
      <c r="J91" s="662"/>
      <c r="K91" s="662"/>
      <c r="L91" s="662"/>
      <c r="M91" s="662"/>
      <c r="N91" s="663"/>
      <c r="O91" s="662"/>
      <c r="P91" s="662"/>
      <c r="Q91" s="662"/>
      <c r="R91" s="662"/>
      <c r="S91" s="662"/>
      <c r="T91" s="662"/>
      <c r="U91" s="662"/>
      <c r="V91" s="662"/>
      <c r="W91" s="662"/>
      <c r="X91" s="662"/>
      <c r="Y91" s="663"/>
      <c r="Z91" s="672"/>
      <c r="AA91" s="673"/>
      <c r="AB91" s="673"/>
      <c r="AC91" s="674"/>
      <c r="AD91" s="675"/>
      <c r="AE91" s="676"/>
      <c r="AF91" s="676"/>
      <c r="AG91" s="440"/>
      <c r="AH91" s="440"/>
      <c r="AI91" s="440"/>
      <c r="AJ91" s="652"/>
      <c r="AK91" s="677"/>
      <c r="AL91" s="675"/>
      <c r="AM91" s="675"/>
      <c r="AN91" s="676"/>
      <c r="AO91" s="676"/>
      <c r="AP91" s="440"/>
      <c r="AQ91" s="677"/>
    </row>
    <row r="92" spans="1:43" x14ac:dyDescent="0.25">
      <c r="A92" s="670"/>
      <c r="B92" s="671" t="s">
        <v>441</v>
      </c>
      <c r="C92" s="661"/>
      <c r="D92" s="662"/>
      <c r="E92" s="662"/>
      <c r="F92" s="662"/>
      <c r="G92" s="662"/>
      <c r="H92" s="662"/>
      <c r="I92" s="662"/>
      <c r="J92" s="662"/>
      <c r="K92" s="662"/>
      <c r="L92" s="662"/>
      <c r="M92" s="662"/>
      <c r="N92" s="663"/>
      <c r="O92" s="662"/>
      <c r="P92" s="662"/>
      <c r="Q92" s="662"/>
      <c r="R92" s="662"/>
      <c r="S92" s="662"/>
      <c r="T92" s="662"/>
      <c r="U92" s="662"/>
      <c r="V92" s="662"/>
      <c r="W92" s="662"/>
      <c r="X92" s="662"/>
      <c r="Y92" s="663"/>
      <c r="Z92" s="672"/>
      <c r="AA92" s="673"/>
      <c r="AB92" s="673"/>
      <c r="AC92" s="674"/>
      <c r="AD92" s="675"/>
      <c r="AE92" s="676"/>
      <c r="AF92" s="676"/>
      <c r="AG92" s="440"/>
      <c r="AH92" s="440"/>
      <c r="AI92" s="440"/>
      <c r="AJ92" s="652"/>
      <c r="AK92" s="677"/>
      <c r="AL92" s="675"/>
      <c r="AM92" s="675"/>
      <c r="AN92" s="676"/>
      <c r="AO92" s="676"/>
      <c r="AP92" s="440"/>
      <c r="AQ92" s="677"/>
    </row>
    <row r="93" spans="1:43" x14ac:dyDescent="0.25">
      <c r="A93" s="670"/>
      <c r="B93" s="671" t="s">
        <v>442</v>
      </c>
      <c r="C93" s="661"/>
      <c r="D93" s="662"/>
      <c r="E93" s="662"/>
      <c r="F93" s="662"/>
      <c r="G93" s="662"/>
      <c r="H93" s="662"/>
      <c r="I93" s="662"/>
      <c r="J93" s="662"/>
      <c r="K93" s="662"/>
      <c r="L93" s="662"/>
      <c r="M93" s="662"/>
      <c r="N93" s="663"/>
      <c r="O93" s="662"/>
      <c r="P93" s="662"/>
      <c r="Q93" s="662"/>
      <c r="R93" s="662"/>
      <c r="S93" s="662"/>
      <c r="T93" s="662"/>
      <c r="U93" s="662"/>
      <c r="V93" s="662"/>
      <c r="W93" s="662"/>
      <c r="X93" s="662"/>
      <c r="Y93" s="663"/>
      <c r="Z93" s="672"/>
      <c r="AA93" s="673"/>
      <c r="AB93" s="673"/>
      <c r="AC93" s="674"/>
      <c r="AD93" s="675"/>
      <c r="AE93" s="676"/>
      <c r="AF93" s="676"/>
      <c r="AG93" s="440"/>
      <c r="AH93" s="440"/>
      <c r="AI93" s="440"/>
      <c r="AJ93" s="652"/>
      <c r="AK93" s="677"/>
      <c r="AL93" s="675"/>
      <c r="AM93" s="675"/>
      <c r="AN93" s="676"/>
      <c r="AO93" s="676"/>
      <c r="AP93" s="440"/>
      <c r="AQ93" s="677"/>
    </row>
    <row r="94" spans="1:43" ht="36" x14ac:dyDescent="0.25">
      <c r="A94" s="670"/>
      <c r="B94" s="671" t="s">
        <v>443</v>
      </c>
      <c r="C94" s="661"/>
      <c r="D94" s="662"/>
      <c r="E94" s="662"/>
      <c r="F94" s="662"/>
      <c r="G94" s="662"/>
      <c r="H94" s="662"/>
      <c r="I94" s="662"/>
      <c r="J94" s="662"/>
      <c r="K94" s="662"/>
      <c r="L94" s="662"/>
      <c r="M94" s="662"/>
      <c r="N94" s="663"/>
      <c r="O94" s="662"/>
      <c r="P94" s="662"/>
      <c r="Q94" s="662"/>
      <c r="R94" s="662"/>
      <c r="S94" s="662"/>
      <c r="T94" s="662"/>
      <c r="U94" s="662"/>
      <c r="V94" s="662"/>
      <c r="W94" s="662"/>
      <c r="X94" s="662"/>
      <c r="Y94" s="663"/>
      <c r="Z94" s="672"/>
      <c r="AA94" s="673"/>
      <c r="AB94" s="673"/>
      <c r="AC94" s="674"/>
      <c r="AD94" s="675"/>
      <c r="AE94" s="676"/>
      <c r="AF94" s="676"/>
      <c r="AG94" s="440"/>
      <c r="AH94" s="440"/>
      <c r="AI94" s="440"/>
      <c r="AJ94" s="652"/>
      <c r="AK94" s="677"/>
      <c r="AL94" s="675"/>
      <c r="AM94" s="675"/>
      <c r="AN94" s="676"/>
      <c r="AO94" s="676"/>
      <c r="AP94" s="440"/>
      <c r="AQ94" s="677"/>
    </row>
    <row r="95" spans="1:43" x14ac:dyDescent="0.25">
      <c r="A95" s="670"/>
      <c r="B95" s="671" t="s">
        <v>444</v>
      </c>
      <c r="C95" s="661"/>
      <c r="D95" s="662"/>
      <c r="E95" s="662"/>
      <c r="F95" s="662"/>
      <c r="G95" s="662"/>
      <c r="H95" s="662"/>
      <c r="I95" s="662"/>
      <c r="J95" s="662"/>
      <c r="K95" s="662"/>
      <c r="L95" s="662"/>
      <c r="M95" s="662"/>
      <c r="N95" s="663"/>
      <c r="O95" s="662"/>
      <c r="P95" s="662"/>
      <c r="Q95" s="662"/>
      <c r="R95" s="662"/>
      <c r="S95" s="662"/>
      <c r="T95" s="662"/>
      <c r="U95" s="662"/>
      <c r="V95" s="662"/>
      <c r="W95" s="662"/>
      <c r="X95" s="662"/>
      <c r="Y95" s="663"/>
      <c r="Z95" s="672"/>
      <c r="AA95" s="673"/>
      <c r="AB95" s="673"/>
      <c r="AC95" s="674"/>
      <c r="AD95" s="675"/>
      <c r="AE95" s="676"/>
      <c r="AF95" s="676"/>
      <c r="AG95" s="440"/>
      <c r="AH95" s="440"/>
      <c r="AI95" s="440"/>
      <c r="AJ95" s="652"/>
      <c r="AK95" s="677"/>
      <c r="AL95" s="675"/>
      <c r="AM95" s="675"/>
      <c r="AN95" s="676"/>
      <c r="AO95" s="676"/>
      <c r="AP95" s="440"/>
      <c r="AQ95" s="677"/>
    </row>
    <row r="96" spans="1:43" ht="24" x14ac:dyDescent="0.25">
      <c r="A96" s="670"/>
      <c r="B96" s="671" t="s">
        <v>445</v>
      </c>
      <c r="C96" s="661"/>
      <c r="D96" s="662"/>
      <c r="E96" s="662"/>
      <c r="F96" s="662"/>
      <c r="G96" s="662"/>
      <c r="H96" s="662"/>
      <c r="I96" s="662"/>
      <c r="J96" s="662"/>
      <c r="K96" s="662"/>
      <c r="L96" s="662"/>
      <c r="M96" s="662"/>
      <c r="N96" s="663"/>
      <c r="O96" s="662"/>
      <c r="P96" s="662"/>
      <c r="Q96" s="662"/>
      <c r="R96" s="662"/>
      <c r="S96" s="662"/>
      <c r="T96" s="662"/>
      <c r="U96" s="662"/>
      <c r="V96" s="662"/>
      <c r="W96" s="662"/>
      <c r="X96" s="662"/>
      <c r="Y96" s="663"/>
      <c r="Z96" s="672"/>
      <c r="AA96" s="673"/>
      <c r="AB96" s="673"/>
      <c r="AC96" s="674"/>
      <c r="AD96" s="675"/>
      <c r="AE96" s="676"/>
      <c r="AF96" s="676"/>
      <c r="AG96" s="440"/>
      <c r="AH96" s="440"/>
      <c r="AI96" s="440"/>
      <c r="AJ96" s="652"/>
      <c r="AK96" s="677"/>
      <c r="AL96" s="675"/>
      <c r="AM96" s="675"/>
      <c r="AN96" s="676"/>
      <c r="AO96" s="676"/>
      <c r="AP96" s="440"/>
      <c r="AQ96" s="677"/>
    </row>
    <row r="97" spans="1:43" x14ac:dyDescent="0.25">
      <c r="A97" s="670"/>
      <c r="B97" s="671" t="s">
        <v>446</v>
      </c>
      <c r="C97" s="661"/>
      <c r="D97" s="662"/>
      <c r="E97" s="662"/>
      <c r="F97" s="662"/>
      <c r="G97" s="662"/>
      <c r="H97" s="662"/>
      <c r="I97" s="662"/>
      <c r="J97" s="662"/>
      <c r="K97" s="662"/>
      <c r="L97" s="662"/>
      <c r="M97" s="662"/>
      <c r="N97" s="663"/>
      <c r="O97" s="662"/>
      <c r="P97" s="662"/>
      <c r="Q97" s="662"/>
      <c r="R97" s="662"/>
      <c r="S97" s="662"/>
      <c r="T97" s="662"/>
      <c r="U97" s="662"/>
      <c r="V97" s="662"/>
      <c r="W97" s="662"/>
      <c r="X97" s="662"/>
      <c r="Y97" s="663"/>
      <c r="Z97" s="672"/>
      <c r="AA97" s="673"/>
      <c r="AB97" s="673"/>
      <c r="AC97" s="674"/>
      <c r="AD97" s="675"/>
      <c r="AE97" s="676"/>
      <c r="AF97" s="676"/>
      <c r="AG97" s="440"/>
      <c r="AH97" s="440"/>
      <c r="AI97" s="440"/>
      <c r="AJ97" s="652"/>
      <c r="AK97" s="677"/>
      <c r="AL97" s="675"/>
      <c r="AM97" s="675"/>
      <c r="AN97" s="676"/>
      <c r="AO97" s="676"/>
      <c r="AP97" s="440"/>
      <c r="AQ97" s="677"/>
    </row>
    <row r="98" spans="1:43" ht="36" x14ac:dyDescent="0.25">
      <c r="A98" s="670"/>
      <c r="B98" s="671" t="s">
        <v>447</v>
      </c>
      <c r="C98" s="661"/>
      <c r="D98" s="662"/>
      <c r="E98" s="662"/>
      <c r="F98" s="662"/>
      <c r="G98" s="662"/>
      <c r="H98" s="662"/>
      <c r="I98" s="662"/>
      <c r="J98" s="662"/>
      <c r="K98" s="662"/>
      <c r="L98" s="662"/>
      <c r="M98" s="662"/>
      <c r="N98" s="663"/>
      <c r="O98" s="662"/>
      <c r="P98" s="662"/>
      <c r="Q98" s="662"/>
      <c r="R98" s="662"/>
      <c r="S98" s="662"/>
      <c r="T98" s="662"/>
      <c r="U98" s="662"/>
      <c r="V98" s="662"/>
      <c r="W98" s="662"/>
      <c r="X98" s="662"/>
      <c r="Y98" s="663"/>
      <c r="Z98" s="672"/>
      <c r="AA98" s="673"/>
      <c r="AB98" s="673"/>
      <c r="AC98" s="674"/>
      <c r="AD98" s="675"/>
      <c r="AE98" s="676"/>
      <c r="AF98" s="676"/>
      <c r="AG98" s="440"/>
      <c r="AH98" s="440"/>
      <c r="AI98" s="440"/>
      <c r="AJ98" s="652"/>
      <c r="AK98" s="677"/>
      <c r="AL98" s="675"/>
      <c r="AM98" s="675"/>
      <c r="AN98" s="676"/>
      <c r="AO98" s="676"/>
      <c r="AP98" s="440"/>
      <c r="AQ98" s="677"/>
    </row>
    <row r="99" spans="1:43" x14ac:dyDescent="0.25">
      <c r="A99" s="670"/>
      <c r="B99" s="671" t="s">
        <v>448</v>
      </c>
      <c r="C99" s="661"/>
      <c r="D99" s="662"/>
      <c r="E99" s="662"/>
      <c r="F99" s="662"/>
      <c r="G99" s="662"/>
      <c r="H99" s="662"/>
      <c r="I99" s="662"/>
      <c r="J99" s="662"/>
      <c r="K99" s="662"/>
      <c r="L99" s="662"/>
      <c r="M99" s="662"/>
      <c r="N99" s="663"/>
      <c r="O99" s="662"/>
      <c r="P99" s="662"/>
      <c r="Q99" s="662"/>
      <c r="R99" s="662"/>
      <c r="S99" s="662"/>
      <c r="T99" s="662"/>
      <c r="U99" s="662"/>
      <c r="V99" s="662"/>
      <c r="W99" s="662"/>
      <c r="X99" s="662"/>
      <c r="Y99" s="663"/>
      <c r="Z99" s="672"/>
      <c r="AA99" s="673"/>
      <c r="AB99" s="673"/>
      <c r="AC99" s="674"/>
      <c r="AD99" s="675"/>
      <c r="AE99" s="676"/>
      <c r="AF99" s="676"/>
      <c r="AG99" s="440"/>
      <c r="AH99" s="440"/>
      <c r="AI99" s="440"/>
      <c r="AJ99" s="652"/>
      <c r="AK99" s="677"/>
      <c r="AL99" s="675"/>
      <c r="AM99" s="675"/>
      <c r="AN99" s="676"/>
      <c r="AO99" s="676"/>
      <c r="AP99" s="440"/>
      <c r="AQ99" s="677"/>
    </row>
    <row r="100" spans="1:43" x14ac:dyDescent="0.25">
      <c r="A100" s="670"/>
      <c r="B100" s="671" t="s">
        <v>449</v>
      </c>
      <c r="C100" s="661"/>
      <c r="D100" s="662"/>
      <c r="E100" s="662"/>
      <c r="F100" s="662"/>
      <c r="G100" s="662"/>
      <c r="H100" s="662"/>
      <c r="I100" s="662"/>
      <c r="J100" s="662"/>
      <c r="K100" s="662"/>
      <c r="L100" s="662"/>
      <c r="M100" s="662"/>
      <c r="N100" s="663"/>
      <c r="O100" s="662"/>
      <c r="P100" s="662"/>
      <c r="Q100" s="662"/>
      <c r="R100" s="662"/>
      <c r="S100" s="662"/>
      <c r="T100" s="662"/>
      <c r="U100" s="662"/>
      <c r="V100" s="662"/>
      <c r="W100" s="662"/>
      <c r="X100" s="662"/>
      <c r="Y100" s="663"/>
      <c r="Z100" s="672"/>
      <c r="AA100" s="673"/>
      <c r="AB100" s="673"/>
      <c r="AC100" s="674"/>
      <c r="AD100" s="675"/>
      <c r="AE100" s="676"/>
      <c r="AF100" s="676"/>
      <c r="AG100" s="440"/>
      <c r="AH100" s="440"/>
      <c r="AI100" s="440"/>
      <c r="AJ100" s="652"/>
      <c r="AK100" s="677"/>
      <c r="AL100" s="675"/>
      <c r="AM100" s="675"/>
      <c r="AN100" s="676"/>
      <c r="AO100" s="676"/>
      <c r="AP100" s="440"/>
      <c r="AQ100" s="677"/>
    </row>
    <row r="101" spans="1:43" x14ac:dyDescent="0.25">
      <c r="A101" s="670"/>
      <c r="B101" s="671" t="s">
        <v>450</v>
      </c>
      <c r="C101" s="661"/>
      <c r="D101" s="662"/>
      <c r="E101" s="662"/>
      <c r="F101" s="662"/>
      <c r="G101" s="662"/>
      <c r="H101" s="662"/>
      <c r="I101" s="662"/>
      <c r="J101" s="662"/>
      <c r="K101" s="662"/>
      <c r="L101" s="662"/>
      <c r="M101" s="662"/>
      <c r="N101" s="663"/>
      <c r="O101" s="662"/>
      <c r="P101" s="662"/>
      <c r="Q101" s="662"/>
      <c r="R101" s="662"/>
      <c r="S101" s="662"/>
      <c r="T101" s="662"/>
      <c r="U101" s="662"/>
      <c r="V101" s="662"/>
      <c r="W101" s="662"/>
      <c r="X101" s="662"/>
      <c r="Y101" s="663"/>
      <c r="Z101" s="672"/>
      <c r="AA101" s="673"/>
      <c r="AB101" s="673"/>
      <c r="AC101" s="674"/>
      <c r="AD101" s="675"/>
      <c r="AE101" s="676"/>
      <c r="AF101" s="676"/>
      <c r="AG101" s="440"/>
      <c r="AH101" s="440"/>
      <c r="AI101" s="440"/>
      <c r="AJ101" s="652"/>
      <c r="AK101" s="677"/>
      <c r="AL101" s="675"/>
      <c r="AM101" s="675"/>
      <c r="AN101" s="676"/>
      <c r="AO101" s="676"/>
      <c r="AP101" s="440"/>
      <c r="AQ101" s="677"/>
    </row>
    <row r="102" spans="1:43" x14ac:dyDescent="0.25">
      <c r="A102" s="670"/>
      <c r="B102" s="671" t="s">
        <v>451</v>
      </c>
      <c r="C102" s="661"/>
      <c r="D102" s="662"/>
      <c r="E102" s="662"/>
      <c r="F102" s="662"/>
      <c r="G102" s="662"/>
      <c r="H102" s="662"/>
      <c r="I102" s="662"/>
      <c r="J102" s="662"/>
      <c r="K102" s="662"/>
      <c r="L102" s="662"/>
      <c r="M102" s="662"/>
      <c r="N102" s="663"/>
      <c r="O102" s="662"/>
      <c r="P102" s="662"/>
      <c r="Q102" s="662"/>
      <c r="R102" s="662"/>
      <c r="S102" s="662"/>
      <c r="T102" s="662"/>
      <c r="U102" s="662"/>
      <c r="V102" s="662"/>
      <c r="W102" s="662"/>
      <c r="X102" s="662"/>
      <c r="Y102" s="663"/>
      <c r="Z102" s="672"/>
      <c r="AA102" s="673"/>
      <c r="AB102" s="673"/>
      <c r="AC102" s="674"/>
      <c r="AD102" s="675"/>
      <c r="AE102" s="676"/>
      <c r="AF102" s="676"/>
      <c r="AG102" s="440"/>
      <c r="AH102" s="440"/>
      <c r="AI102" s="440"/>
      <c r="AJ102" s="652"/>
      <c r="AK102" s="677"/>
      <c r="AL102" s="675"/>
      <c r="AM102" s="675"/>
      <c r="AN102" s="676"/>
      <c r="AO102" s="676"/>
      <c r="AP102" s="440"/>
      <c r="AQ102" s="677"/>
    </row>
    <row r="103" spans="1:43" x14ac:dyDescent="0.25">
      <c r="A103" s="670"/>
      <c r="B103" s="671" t="s">
        <v>452</v>
      </c>
      <c r="C103" s="661"/>
      <c r="D103" s="662"/>
      <c r="E103" s="662"/>
      <c r="F103" s="662"/>
      <c r="G103" s="662"/>
      <c r="H103" s="662"/>
      <c r="I103" s="662"/>
      <c r="J103" s="662"/>
      <c r="K103" s="662"/>
      <c r="L103" s="662"/>
      <c r="M103" s="662"/>
      <c r="N103" s="663"/>
      <c r="O103" s="662"/>
      <c r="P103" s="662"/>
      <c r="Q103" s="662"/>
      <c r="R103" s="662"/>
      <c r="S103" s="662"/>
      <c r="T103" s="662"/>
      <c r="U103" s="662"/>
      <c r="V103" s="662"/>
      <c r="W103" s="662"/>
      <c r="X103" s="662"/>
      <c r="Y103" s="663"/>
      <c r="Z103" s="672"/>
      <c r="AA103" s="673"/>
      <c r="AB103" s="673"/>
      <c r="AC103" s="674"/>
      <c r="AD103" s="675"/>
      <c r="AE103" s="676"/>
      <c r="AF103" s="676"/>
      <c r="AG103" s="440"/>
      <c r="AH103" s="440"/>
      <c r="AI103" s="440"/>
      <c r="AJ103" s="652"/>
      <c r="AK103" s="677"/>
      <c r="AL103" s="675"/>
      <c r="AM103" s="675"/>
      <c r="AN103" s="676"/>
      <c r="AO103" s="676"/>
      <c r="AP103" s="440"/>
      <c r="AQ103" s="677"/>
    </row>
    <row r="104" spans="1:43" x14ac:dyDescent="0.25">
      <c r="A104" s="670"/>
      <c r="B104" s="671" t="s">
        <v>453</v>
      </c>
      <c r="C104" s="661"/>
      <c r="D104" s="662"/>
      <c r="E104" s="662"/>
      <c r="F104" s="662"/>
      <c r="G104" s="662"/>
      <c r="H104" s="662"/>
      <c r="I104" s="662"/>
      <c r="J104" s="662"/>
      <c r="K104" s="662"/>
      <c r="L104" s="662"/>
      <c r="M104" s="662"/>
      <c r="N104" s="663"/>
      <c r="O104" s="662"/>
      <c r="P104" s="662"/>
      <c r="Q104" s="662"/>
      <c r="R104" s="662"/>
      <c r="S104" s="662"/>
      <c r="T104" s="662"/>
      <c r="U104" s="662"/>
      <c r="V104" s="662"/>
      <c r="W104" s="662"/>
      <c r="X104" s="662"/>
      <c r="Y104" s="663"/>
      <c r="Z104" s="672"/>
      <c r="AA104" s="673"/>
      <c r="AB104" s="673"/>
      <c r="AC104" s="674"/>
      <c r="AD104" s="675"/>
      <c r="AE104" s="676"/>
      <c r="AF104" s="676"/>
      <c r="AG104" s="440"/>
      <c r="AH104" s="440"/>
      <c r="AI104" s="440"/>
      <c r="AJ104" s="652"/>
      <c r="AK104" s="677"/>
      <c r="AL104" s="675"/>
      <c r="AM104" s="675"/>
      <c r="AN104" s="676"/>
      <c r="AO104" s="676"/>
      <c r="AP104" s="440"/>
      <c r="AQ104" s="677"/>
    </row>
    <row r="105" spans="1:43" ht="24" x14ac:dyDescent="0.25">
      <c r="A105" s="670"/>
      <c r="B105" s="671" t="s">
        <v>454</v>
      </c>
      <c r="C105" s="661"/>
      <c r="D105" s="662"/>
      <c r="E105" s="662"/>
      <c r="F105" s="662"/>
      <c r="G105" s="662"/>
      <c r="H105" s="662"/>
      <c r="I105" s="662"/>
      <c r="J105" s="662"/>
      <c r="K105" s="662"/>
      <c r="L105" s="662"/>
      <c r="M105" s="662"/>
      <c r="N105" s="663"/>
      <c r="O105" s="662"/>
      <c r="P105" s="662"/>
      <c r="Q105" s="662"/>
      <c r="R105" s="662"/>
      <c r="S105" s="662"/>
      <c r="T105" s="662"/>
      <c r="U105" s="662"/>
      <c r="V105" s="662"/>
      <c r="W105" s="662"/>
      <c r="X105" s="662"/>
      <c r="Y105" s="663"/>
      <c r="Z105" s="672"/>
      <c r="AA105" s="673"/>
      <c r="AB105" s="673"/>
      <c r="AC105" s="674"/>
      <c r="AD105" s="675"/>
      <c r="AE105" s="676"/>
      <c r="AF105" s="676"/>
      <c r="AG105" s="440"/>
      <c r="AH105" s="440"/>
      <c r="AI105" s="440"/>
      <c r="AJ105" s="652"/>
      <c r="AK105" s="677"/>
      <c r="AL105" s="675"/>
      <c r="AM105" s="675"/>
      <c r="AN105" s="676"/>
      <c r="AO105" s="676"/>
      <c r="AP105" s="440"/>
      <c r="AQ105" s="677"/>
    </row>
    <row r="106" spans="1:43" ht="24" x14ac:dyDescent="0.25">
      <c r="A106" s="670"/>
      <c r="B106" s="671" t="s">
        <v>455</v>
      </c>
      <c r="C106" s="661"/>
      <c r="D106" s="662"/>
      <c r="E106" s="662"/>
      <c r="F106" s="662"/>
      <c r="G106" s="662"/>
      <c r="H106" s="662"/>
      <c r="I106" s="662"/>
      <c r="J106" s="662"/>
      <c r="K106" s="662"/>
      <c r="L106" s="662"/>
      <c r="M106" s="662"/>
      <c r="N106" s="663"/>
      <c r="O106" s="662"/>
      <c r="P106" s="662"/>
      <c r="Q106" s="662"/>
      <c r="R106" s="662"/>
      <c r="S106" s="662"/>
      <c r="T106" s="662"/>
      <c r="U106" s="662"/>
      <c r="V106" s="662"/>
      <c r="W106" s="662"/>
      <c r="X106" s="662"/>
      <c r="Y106" s="663"/>
      <c r="Z106" s="672"/>
      <c r="AA106" s="673"/>
      <c r="AB106" s="673"/>
      <c r="AC106" s="674"/>
      <c r="AD106" s="675"/>
      <c r="AE106" s="676"/>
      <c r="AF106" s="676"/>
      <c r="AG106" s="440"/>
      <c r="AH106" s="440"/>
      <c r="AI106" s="440"/>
      <c r="AJ106" s="652"/>
      <c r="AK106" s="677"/>
      <c r="AL106" s="675"/>
      <c r="AM106" s="675"/>
      <c r="AN106" s="676"/>
      <c r="AO106" s="676"/>
      <c r="AP106" s="440"/>
      <c r="AQ106" s="677"/>
    </row>
    <row r="107" spans="1:43" x14ac:dyDescent="0.25">
      <c r="A107" s="670"/>
      <c r="B107" s="671" t="s">
        <v>456</v>
      </c>
      <c r="C107" s="661"/>
      <c r="D107" s="662"/>
      <c r="E107" s="662"/>
      <c r="F107" s="662"/>
      <c r="G107" s="662"/>
      <c r="H107" s="662"/>
      <c r="I107" s="662"/>
      <c r="J107" s="662"/>
      <c r="K107" s="662"/>
      <c r="L107" s="662"/>
      <c r="M107" s="662"/>
      <c r="N107" s="663"/>
      <c r="O107" s="662"/>
      <c r="P107" s="662"/>
      <c r="Q107" s="662"/>
      <c r="R107" s="662"/>
      <c r="S107" s="662"/>
      <c r="T107" s="662"/>
      <c r="U107" s="662"/>
      <c r="V107" s="662"/>
      <c r="W107" s="662"/>
      <c r="X107" s="662"/>
      <c r="Y107" s="663"/>
      <c r="Z107" s="672"/>
      <c r="AA107" s="673"/>
      <c r="AB107" s="673"/>
      <c r="AC107" s="674"/>
      <c r="AD107" s="675"/>
      <c r="AE107" s="676"/>
      <c r="AF107" s="676"/>
      <c r="AG107" s="440"/>
      <c r="AH107" s="440"/>
      <c r="AI107" s="440"/>
      <c r="AJ107" s="652"/>
      <c r="AK107" s="677"/>
      <c r="AL107" s="675"/>
      <c r="AM107" s="675"/>
      <c r="AN107" s="676"/>
      <c r="AO107" s="676"/>
      <c r="AP107" s="440"/>
      <c r="AQ107" s="677"/>
    </row>
    <row r="108" spans="1:43" x14ac:dyDescent="0.25">
      <c r="A108" s="670"/>
      <c r="B108" s="671" t="s">
        <v>457</v>
      </c>
      <c r="C108" s="661"/>
      <c r="D108" s="662"/>
      <c r="E108" s="662"/>
      <c r="F108" s="662"/>
      <c r="G108" s="662"/>
      <c r="H108" s="662"/>
      <c r="I108" s="662"/>
      <c r="J108" s="662"/>
      <c r="K108" s="662"/>
      <c r="L108" s="662"/>
      <c r="M108" s="662"/>
      <c r="N108" s="663"/>
      <c r="O108" s="662"/>
      <c r="P108" s="662"/>
      <c r="Q108" s="662"/>
      <c r="R108" s="662"/>
      <c r="S108" s="662"/>
      <c r="T108" s="662"/>
      <c r="U108" s="662"/>
      <c r="V108" s="662"/>
      <c r="W108" s="662"/>
      <c r="X108" s="662"/>
      <c r="Y108" s="663"/>
      <c r="Z108" s="672"/>
      <c r="AA108" s="673"/>
      <c r="AB108" s="673"/>
      <c r="AC108" s="674"/>
      <c r="AD108" s="675"/>
      <c r="AE108" s="676"/>
      <c r="AF108" s="676"/>
      <c r="AG108" s="440"/>
      <c r="AH108" s="440"/>
      <c r="AI108" s="440"/>
      <c r="AJ108" s="652"/>
      <c r="AK108" s="677"/>
      <c r="AL108" s="675"/>
      <c r="AM108" s="675"/>
      <c r="AN108" s="676"/>
      <c r="AO108" s="676"/>
      <c r="AP108" s="440"/>
      <c r="AQ108" s="677"/>
    </row>
    <row r="109" spans="1:43" x14ac:dyDescent="0.25">
      <c r="A109" s="670"/>
      <c r="B109" s="671" t="s">
        <v>458</v>
      </c>
      <c r="C109" s="661"/>
      <c r="D109" s="662"/>
      <c r="E109" s="662"/>
      <c r="F109" s="662"/>
      <c r="G109" s="662"/>
      <c r="H109" s="662"/>
      <c r="I109" s="662"/>
      <c r="J109" s="662"/>
      <c r="K109" s="662"/>
      <c r="L109" s="662"/>
      <c r="M109" s="662"/>
      <c r="N109" s="663"/>
      <c r="O109" s="662"/>
      <c r="P109" s="662"/>
      <c r="Q109" s="662"/>
      <c r="R109" s="662"/>
      <c r="S109" s="662"/>
      <c r="T109" s="662"/>
      <c r="U109" s="662"/>
      <c r="V109" s="662"/>
      <c r="W109" s="662"/>
      <c r="X109" s="662"/>
      <c r="Y109" s="663"/>
      <c r="Z109" s="672"/>
      <c r="AA109" s="673"/>
      <c r="AB109" s="673"/>
      <c r="AC109" s="674"/>
      <c r="AD109" s="675"/>
      <c r="AE109" s="676"/>
      <c r="AF109" s="676"/>
      <c r="AG109" s="440"/>
      <c r="AH109" s="440"/>
      <c r="AI109" s="440"/>
      <c r="AJ109" s="652"/>
      <c r="AK109" s="677"/>
      <c r="AL109" s="675"/>
      <c r="AM109" s="675"/>
      <c r="AN109" s="676"/>
      <c r="AO109" s="676"/>
      <c r="AP109" s="440"/>
      <c r="AQ109" s="677"/>
    </row>
    <row r="110" spans="1:43" ht="24" x14ac:dyDescent="0.25">
      <c r="A110" s="670"/>
      <c r="B110" s="671" t="s">
        <v>459</v>
      </c>
      <c r="C110" s="661"/>
      <c r="D110" s="662"/>
      <c r="E110" s="662"/>
      <c r="F110" s="662"/>
      <c r="G110" s="662"/>
      <c r="H110" s="662"/>
      <c r="I110" s="662"/>
      <c r="J110" s="662"/>
      <c r="K110" s="662"/>
      <c r="L110" s="662"/>
      <c r="M110" s="662"/>
      <c r="N110" s="663"/>
      <c r="O110" s="662"/>
      <c r="P110" s="662"/>
      <c r="Q110" s="662"/>
      <c r="R110" s="662"/>
      <c r="S110" s="662"/>
      <c r="T110" s="662"/>
      <c r="U110" s="662"/>
      <c r="V110" s="662"/>
      <c r="W110" s="662"/>
      <c r="X110" s="662"/>
      <c r="Y110" s="663"/>
      <c r="Z110" s="672"/>
      <c r="AA110" s="673"/>
      <c r="AB110" s="673"/>
      <c r="AC110" s="674"/>
      <c r="AD110" s="675"/>
      <c r="AE110" s="676"/>
      <c r="AF110" s="676"/>
      <c r="AG110" s="440"/>
      <c r="AH110" s="440"/>
      <c r="AI110" s="440"/>
      <c r="AJ110" s="652"/>
      <c r="AK110" s="677"/>
      <c r="AL110" s="675"/>
      <c r="AM110" s="675"/>
      <c r="AN110" s="676"/>
      <c r="AO110" s="676"/>
      <c r="AP110" s="440"/>
      <c r="AQ110" s="677"/>
    </row>
    <row r="111" spans="1:43" x14ac:dyDescent="0.25">
      <c r="A111" s="670"/>
      <c r="B111" s="671" t="s">
        <v>460</v>
      </c>
      <c r="C111" s="661"/>
      <c r="D111" s="662"/>
      <c r="E111" s="662"/>
      <c r="F111" s="662"/>
      <c r="G111" s="662"/>
      <c r="H111" s="662"/>
      <c r="I111" s="662"/>
      <c r="J111" s="662"/>
      <c r="K111" s="662"/>
      <c r="L111" s="662"/>
      <c r="M111" s="662"/>
      <c r="N111" s="663"/>
      <c r="O111" s="662"/>
      <c r="P111" s="662"/>
      <c r="Q111" s="662"/>
      <c r="R111" s="662"/>
      <c r="S111" s="662"/>
      <c r="T111" s="662"/>
      <c r="U111" s="662"/>
      <c r="V111" s="662"/>
      <c r="W111" s="662"/>
      <c r="X111" s="662"/>
      <c r="Y111" s="663"/>
      <c r="Z111" s="672"/>
      <c r="AA111" s="673"/>
      <c r="AB111" s="673"/>
      <c r="AC111" s="674"/>
      <c r="AD111" s="675"/>
      <c r="AE111" s="676"/>
      <c r="AF111" s="676"/>
      <c r="AG111" s="440"/>
      <c r="AH111" s="440"/>
      <c r="AI111" s="440"/>
      <c r="AJ111" s="652"/>
      <c r="AK111" s="677"/>
      <c r="AL111" s="675"/>
      <c r="AM111" s="675"/>
      <c r="AN111" s="676"/>
      <c r="AO111" s="676"/>
      <c r="AP111" s="440"/>
      <c r="AQ111" s="677"/>
    </row>
    <row r="112" spans="1:43" ht="24" x14ac:dyDescent="0.25">
      <c r="A112" s="670"/>
      <c r="B112" s="671" t="s">
        <v>461</v>
      </c>
      <c r="C112" s="661"/>
      <c r="D112" s="662"/>
      <c r="E112" s="662"/>
      <c r="F112" s="662"/>
      <c r="G112" s="662"/>
      <c r="H112" s="662"/>
      <c r="I112" s="662"/>
      <c r="J112" s="662"/>
      <c r="K112" s="662"/>
      <c r="L112" s="662"/>
      <c r="M112" s="662"/>
      <c r="N112" s="663"/>
      <c r="O112" s="662"/>
      <c r="P112" s="662"/>
      <c r="Q112" s="662"/>
      <c r="R112" s="662"/>
      <c r="S112" s="662"/>
      <c r="T112" s="662"/>
      <c r="U112" s="662"/>
      <c r="V112" s="662"/>
      <c r="W112" s="662"/>
      <c r="X112" s="662"/>
      <c r="Y112" s="663"/>
      <c r="Z112" s="672"/>
      <c r="AA112" s="673"/>
      <c r="AB112" s="673"/>
      <c r="AC112" s="674"/>
      <c r="AD112" s="675"/>
      <c r="AE112" s="676"/>
      <c r="AF112" s="676"/>
      <c r="AG112" s="440"/>
      <c r="AH112" s="440"/>
      <c r="AI112" s="440"/>
      <c r="AJ112" s="652"/>
      <c r="AK112" s="677"/>
      <c r="AL112" s="675"/>
      <c r="AM112" s="675"/>
      <c r="AN112" s="676"/>
      <c r="AO112" s="676"/>
      <c r="AP112" s="440"/>
      <c r="AQ112" s="677"/>
    </row>
    <row r="113" spans="1:43" x14ac:dyDescent="0.25">
      <c r="A113" s="670"/>
      <c r="B113" s="671" t="s">
        <v>462</v>
      </c>
      <c r="C113" s="661"/>
      <c r="D113" s="662"/>
      <c r="E113" s="662"/>
      <c r="F113" s="662"/>
      <c r="G113" s="662"/>
      <c r="H113" s="662"/>
      <c r="I113" s="662"/>
      <c r="J113" s="662"/>
      <c r="K113" s="662"/>
      <c r="L113" s="662"/>
      <c r="M113" s="662"/>
      <c r="N113" s="663"/>
      <c r="O113" s="662"/>
      <c r="P113" s="662"/>
      <c r="Q113" s="662"/>
      <c r="R113" s="662"/>
      <c r="S113" s="662"/>
      <c r="T113" s="662"/>
      <c r="U113" s="662"/>
      <c r="V113" s="662"/>
      <c r="W113" s="662"/>
      <c r="X113" s="662"/>
      <c r="Y113" s="663"/>
      <c r="Z113" s="672"/>
      <c r="AA113" s="673"/>
      <c r="AB113" s="673"/>
      <c r="AC113" s="674"/>
      <c r="AD113" s="675"/>
      <c r="AE113" s="676"/>
      <c r="AF113" s="676"/>
      <c r="AG113" s="440"/>
      <c r="AH113" s="440"/>
      <c r="AI113" s="440"/>
      <c r="AJ113" s="652"/>
      <c r="AK113" s="677"/>
      <c r="AL113" s="675"/>
      <c r="AM113" s="675"/>
      <c r="AN113" s="676"/>
      <c r="AO113" s="676"/>
      <c r="AP113" s="440"/>
      <c r="AQ113" s="677"/>
    </row>
    <row r="114" spans="1:43" ht="24" x14ac:dyDescent="0.25">
      <c r="A114" s="670"/>
      <c r="B114" s="671" t="s">
        <v>463</v>
      </c>
      <c r="C114" s="661"/>
      <c r="D114" s="662"/>
      <c r="E114" s="662"/>
      <c r="F114" s="662"/>
      <c r="G114" s="662"/>
      <c r="H114" s="662"/>
      <c r="I114" s="662"/>
      <c r="J114" s="662"/>
      <c r="K114" s="662"/>
      <c r="L114" s="662"/>
      <c r="M114" s="662"/>
      <c r="N114" s="663"/>
      <c r="O114" s="662"/>
      <c r="P114" s="662"/>
      <c r="Q114" s="662"/>
      <c r="R114" s="662"/>
      <c r="S114" s="662"/>
      <c r="T114" s="662"/>
      <c r="U114" s="662"/>
      <c r="V114" s="662"/>
      <c r="W114" s="662"/>
      <c r="X114" s="662"/>
      <c r="Y114" s="663"/>
      <c r="Z114" s="672"/>
      <c r="AA114" s="673"/>
      <c r="AB114" s="673"/>
      <c r="AC114" s="674"/>
      <c r="AD114" s="675"/>
      <c r="AE114" s="676"/>
      <c r="AF114" s="676"/>
      <c r="AG114" s="440"/>
      <c r="AH114" s="440"/>
      <c r="AI114" s="440"/>
      <c r="AJ114" s="652"/>
      <c r="AK114" s="677"/>
      <c r="AL114" s="675"/>
      <c r="AM114" s="675"/>
      <c r="AN114" s="676"/>
      <c r="AO114" s="676"/>
      <c r="AP114" s="440"/>
      <c r="AQ114" s="677"/>
    </row>
    <row r="115" spans="1:43" x14ac:dyDescent="0.25">
      <c r="A115" s="670"/>
      <c r="B115" s="671" t="s">
        <v>465</v>
      </c>
      <c r="C115" s="661"/>
      <c r="D115" s="662"/>
      <c r="E115" s="662"/>
      <c r="F115" s="662"/>
      <c r="G115" s="662"/>
      <c r="H115" s="662"/>
      <c r="I115" s="662"/>
      <c r="J115" s="662"/>
      <c r="K115" s="662"/>
      <c r="L115" s="662"/>
      <c r="M115" s="662"/>
      <c r="N115" s="663"/>
      <c r="O115" s="662"/>
      <c r="P115" s="662"/>
      <c r="Q115" s="662"/>
      <c r="R115" s="662"/>
      <c r="S115" s="662"/>
      <c r="T115" s="662"/>
      <c r="U115" s="662"/>
      <c r="V115" s="662"/>
      <c r="W115" s="662"/>
      <c r="X115" s="662"/>
      <c r="Y115" s="663"/>
      <c r="Z115" s="672"/>
      <c r="AA115" s="673"/>
      <c r="AB115" s="673"/>
      <c r="AC115" s="674"/>
      <c r="AD115" s="675"/>
      <c r="AE115" s="676"/>
      <c r="AF115" s="676"/>
      <c r="AG115" s="440"/>
      <c r="AH115" s="440"/>
      <c r="AI115" s="440"/>
      <c r="AJ115" s="652"/>
      <c r="AK115" s="677"/>
      <c r="AL115" s="675"/>
      <c r="AM115" s="675"/>
      <c r="AN115" s="676"/>
      <c r="AO115" s="676"/>
      <c r="AP115" s="440"/>
      <c r="AQ115" s="677"/>
    </row>
    <row r="116" spans="1:43" x14ac:dyDescent="0.25">
      <c r="A116" s="659" t="s">
        <v>148</v>
      </c>
      <c r="B116" s="660"/>
      <c r="C116" s="683" t="s">
        <v>696</v>
      </c>
      <c r="D116" s="684" t="s">
        <v>696</v>
      </c>
      <c r="E116" s="684" t="s">
        <v>696</v>
      </c>
      <c r="F116" s="684" t="s">
        <v>696</v>
      </c>
      <c r="G116" s="684" t="s">
        <v>696</v>
      </c>
      <c r="H116" s="684" t="s">
        <v>696</v>
      </c>
      <c r="I116" s="684" t="s">
        <v>696</v>
      </c>
      <c r="J116" s="684" t="s">
        <v>696</v>
      </c>
      <c r="K116" s="684" t="s">
        <v>696</v>
      </c>
      <c r="L116" s="684" t="s">
        <v>696</v>
      </c>
      <c r="M116" s="684" t="s">
        <v>696</v>
      </c>
      <c r="N116" s="685" t="s">
        <v>696</v>
      </c>
      <c r="O116" s="684" t="s">
        <v>696</v>
      </c>
      <c r="P116" s="684" t="s">
        <v>696</v>
      </c>
      <c r="Q116" s="684" t="s">
        <v>696</v>
      </c>
      <c r="R116" s="684" t="s">
        <v>696</v>
      </c>
      <c r="S116" s="684" t="s">
        <v>696</v>
      </c>
      <c r="T116" s="684" t="s">
        <v>696</v>
      </c>
      <c r="U116" s="684" t="s">
        <v>696</v>
      </c>
      <c r="V116" s="684" t="s">
        <v>696</v>
      </c>
      <c r="W116" s="684" t="s">
        <v>696</v>
      </c>
      <c r="X116" s="684" t="s">
        <v>696</v>
      </c>
      <c r="Y116" s="685" t="s">
        <v>696</v>
      </c>
      <c r="Z116" s="686"/>
      <c r="AA116" s="687"/>
      <c r="AB116" s="687"/>
      <c r="AC116" s="688"/>
      <c r="AD116" s="667">
        <v>600</v>
      </c>
      <c r="AE116" s="668">
        <v>705</v>
      </c>
      <c r="AF116" s="966">
        <v>960</v>
      </c>
      <c r="AG116" s="964">
        <f t="shared" si="0"/>
        <v>576000</v>
      </c>
      <c r="AH116" s="967">
        <f t="shared" si="1"/>
        <v>676800</v>
      </c>
      <c r="AI116" s="964">
        <f t="shared" si="2"/>
        <v>100800</v>
      </c>
      <c r="AJ116" s="968"/>
      <c r="AK116" s="689"/>
      <c r="AL116" s="667"/>
      <c r="AM116" s="667"/>
      <c r="AN116" s="668"/>
      <c r="AO116" s="668"/>
      <c r="AP116" s="440">
        <v>0</v>
      </c>
      <c r="AQ116" s="689"/>
    </row>
    <row r="117" spans="1:43" x14ac:dyDescent="0.25">
      <c r="A117" s="659"/>
      <c r="B117" s="660"/>
      <c r="C117" s="683"/>
      <c r="D117" s="684"/>
      <c r="E117" s="684"/>
      <c r="F117" s="684"/>
      <c r="G117" s="684"/>
      <c r="H117" s="684"/>
      <c r="I117" s="684"/>
      <c r="J117" s="684"/>
      <c r="K117" s="684"/>
      <c r="L117" s="684"/>
      <c r="M117" s="684"/>
      <c r="N117" s="685"/>
      <c r="O117" s="684"/>
      <c r="P117" s="684"/>
      <c r="Q117" s="684"/>
      <c r="R117" s="684"/>
      <c r="S117" s="684"/>
      <c r="T117" s="684"/>
      <c r="U117" s="684"/>
      <c r="V117" s="684"/>
      <c r="W117" s="684"/>
      <c r="X117" s="684"/>
      <c r="Y117" s="685"/>
      <c r="Z117" s="686"/>
      <c r="AA117" s="687"/>
      <c r="AB117" s="687"/>
      <c r="AC117" s="688"/>
      <c r="AD117" s="667"/>
      <c r="AE117" s="668"/>
      <c r="AF117" s="668"/>
      <c r="AG117" s="440"/>
      <c r="AH117" s="440"/>
      <c r="AI117" s="440"/>
      <c r="AJ117" s="652"/>
      <c r="AK117" s="689"/>
      <c r="AL117" s="667"/>
      <c r="AM117" s="667"/>
      <c r="AN117" s="668"/>
      <c r="AO117" s="668"/>
      <c r="AP117" s="440"/>
      <c r="AQ117" s="689"/>
    </row>
    <row r="118" spans="1:43" ht="24.6" thickBot="1" x14ac:dyDescent="0.3">
      <c r="A118" s="682" t="s">
        <v>496</v>
      </c>
      <c r="B118" s="682"/>
      <c r="C118" s="255"/>
      <c r="D118" s="256"/>
      <c r="E118" s="256"/>
      <c r="F118" s="256" t="s">
        <v>696</v>
      </c>
      <c r="G118" s="256" t="s">
        <v>696</v>
      </c>
      <c r="H118" s="256" t="s">
        <v>696</v>
      </c>
      <c r="I118" s="256" t="s">
        <v>696</v>
      </c>
      <c r="J118" s="256" t="s">
        <v>696</v>
      </c>
      <c r="K118" s="256" t="s">
        <v>696</v>
      </c>
      <c r="L118" s="256" t="s">
        <v>696</v>
      </c>
      <c r="M118" s="256" t="s">
        <v>696</v>
      </c>
      <c r="N118" s="257" t="s">
        <v>696</v>
      </c>
      <c r="O118" s="256" t="s">
        <v>696</v>
      </c>
      <c r="P118" s="256" t="s">
        <v>696</v>
      </c>
      <c r="Q118" s="256"/>
      <c r="R118" s="256"/>
      <c r="S118" s="256"/>
      <c r="T118" s="256"/>
      <c r="U118" s="256"/>
      <c r="V118" s="256"/>
      <c r="W118" s="256"/>
      <c r="X118" s="256"/>
      <c r="Y118" s="257"/>
      <c r="Z118" s="481"/>
      <c r="AA118" s="482"/>
      <c r="AB118" s="482"/>
      <c r="AC118" s="483"/>
      <c r="AD118" s="443">
        <v>80</v>
      </c>
      <c r="AE118" s="225">
        <v>95</v>
      </c>
      <c r="AF118" s="963">
        <v>960</v>
      </c>
      <c r="AG118" s="969">
        <f t="shared" si="0"/>
        <v>76800</v>
      </c>
      <c r="AH118" s="969">
        <f t="shared" si="1"/>
        <v>91200</v>
      </c>
      <c r="AI118" s="969">
        <f t="shared" si="2"/>
        <v>14400</v>
      </c>
      <c r="AJ118" s="970">
        <v>5500</v>
      </c>
      <c r="AK118" s="445"/>
      <c r="AL118" s="443"/>
      <c r="AM118" s="443"/>
      <c r="AN118" s="225"/>
      <c r="AO118" s="225"/>
      <c r="AP118" s="440">
        <f t="shared" si="3"/>
        <v>0</v>
      </c>
      <c r="AQ118" s="445"/>
    </row>
    <row r="119" spans="1:43" ht="12.6" thickBot="1" x14ac:dyDescent="0.3">
      <c r="A119" s="205" t="s">
        <v>149</v>
      </c>
      <c r="B119" s="122"/>
      <c r="C119" s="122"/>
      <c r="D119" s="122"/>
      <c r="E119" s="122"/>
      <c r="F119" s="122"/>
      <c r="G119" s="122"/>
      <c r="H119" s="122"/>
      <c r="I119" s="122"/>
      <c r="J119" s="122"/>
      <c r="K119" s="122"/>
      <c r="L119" s="122"/>
      <c r="M119" s="122"/>
      <c r="N119" s="122"/>
      <c r="O119" s="122"/>
      <c r="P119" s="122"/>
      <c r="Q119" s="122"/>
      <c r="R119" s="122"/>
      <c r="S119" s="122"/>
      <c r="T119" s="122"/>
      <c r="U119" s="122"/>
      <c r="V119" s="122"/>
      <c r="W119" s="122"/>
      <c r="X119" s="122"/>
      <c r="Y119" s="122"/>
      <c r="Z119" s="475"/>
      <c r="AA119" s="475"/>
      <c r="AB119" s="475"/>
      <c r="AC119" s="475">
        <f t="shared" ref="AC119:AJ119" si="4">SUM(AC6:AC118)</f>
        <v>120000</v>
      </c>
      <c r="AD119" s="220">
        <f t="shared" si="4"/>
        <v>10831</v>
      </c>
      <c r="AE119" s="220">
        <f t="shared" si="4"/>
        <v>11582</v>
      </c>
      <c r="AF119" s="220">
        <f t="shared" si="4"/>
        <v>6720</v>
      </c>
      <c r="AG119" s="222">
        <f t="shared" si="4"/>
        <v>10517760</v>
      </c>
      <c r="AH119" s="222">
        <f>SUM(AH6:AH118)</f>
        <v>11238720</v>
      </c>
      <c r="AI119" s="222">
        <f t="shared" si="4"/>
        <v>720960</v>
      </c>
      <c r="AJ119" s="222">
        <f t="shared" si="4"/>
        <v>1037000</v>
      </c>
      <c r="AK119" s="236"/>
      <c r="AL119" s="220"/>
      <c r="AM119" s="220">
        <f>SUM(AM6:AM118)</f>
        <v>0</v>
      </c>
      <c r="AN119" s="220">
        <f>SUM(AN6:AN118)</f>
        <v>0</v>
      </c>
      <c r="AO119" s="220">
        <f>SUM(AO6:AO118)</f>
        <v>0</v>
      </c>
      <c r="AP119" s="222">
        <f>SUM(AP6:AP118)</f>
        <v>0</v>
      </c>
      <c r="AQ119" s="222"/>
    </row>
    <row r="120" spans="1:43" x14ac:dyDescent="0.25">
      <c r="AC120" s="116" t="s">
        <v>704</v>
      </c>
      <c r="AD120" s="116">
        <f>AVERAGE(AD119:AE119)</f>
        <v>11206.5</v>
      </c>
    </row>
    <row r="122" spans="1:43" ht="15.6" x14ac:dyDescent="0.3">
      <c r="AG122" s="123"/>
    </row>
  </sheetData>
  <mergeCells count="7">
    <mergeCell ref="AQ4:AQ5"/>
    <mergeCell ref="A1:B1"/>
    <mergeCell ref="C1:AQ1"/>
    <mergeCell ref="Z2:AK2"/>
    <mergeCell ref="AL2:AQ2"/>
    <mergeCell ref="Z3:AC3"/>
    <mergeCell ref="AD3:AK3"/>
  </mergeCells>
  <conditionalFormatting sqref="C6:AC118">
    <cfRule type="colorScale" priority="1">
      <colorScale>
        <cfvo type="num" val="0"/>
        <cfvo type="num" val="1"/>
        <color theme="0"/>
        <color theme="2" tint="-0.249977111117893"/>
      </colorScale>
    </cfRule>
  </conditionalFormatting>
  <pageMargins left="0.7" right="0.7" top="0.75" bottom="0.75" header="0.3" footer="0.3"/>
  <pageSetup paperSize="9" scale="1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AQ122"/>
  <sheetViews>
    <sheetView showGridLines="0" topLeftCell="D1" zoomScaleNormal="100" zoomScaleSheetLayoutView="90" workbookViewId="0">
      <pane ySplit="5" topLeftCell="A93" activePane="bottomLeft" state="frozen"/>
      <selection pane="bottomLeft" activeCell="AD119" sqref="AD119"/>
    </sheetView>
  </sheetViews>
  <sheetFormatPr defaultColWidth="8.6640625" defaultRowHeight="12" x14ac:dyDescent="0.25"/>
  <cols>
    <col min="1" max="1" width="36.33203125" style="116" customWidth="1"/>
    <col min="2" max="2" width="61.6640625" style="116" hidden="1" customWidth="1"/>
    <col min="3" max="3" width="3.33203125" style="116" hidden="1" customWidth="1"/>
    <col min="4" max="24" width="3.6640625" style="116" hidden="1" customWidth="1"/>
    <col min="25" max="25" width="4.44140625" style="116" hidden="1" customWidth="1"/>
    <col min="26" max="28" width="16.44140625" style="116" customWidth="1"/>
    <col min="29" max="29" width="18.109375" style="116" customWidth="1"/>
    <col min="30" max="30" width="9" style="116" customWidth="1"/>
    <col min="31" max="31" width="9.109375" style="116" customWidth="1"/>
    <col min="32" max="32" width="9" style="116" customWidth="1"/>
    <col min="33" max="33" width="10.6640625" style="117" customWidth="1"/>
    <col min="34" max="36" width="10.6640625" style="116" customWidth="1"/>
    <col min="37" max="37" width="52.109375" style="116" customWidth="1"/>
    <col min="38" max="38" width="51.6640625" style="116" customWidth="1"/>
    <col min="39" max="42" width="8.6640625" style="116"/>
    <col min="43" max="43" width="18.88671875" style="116" customWidth="1"/>
    <col min="44" max="16384" width="8.6640625" style="116"/>
  </cols>
  <sheetData>
    <row r="1" spans="1:43" ht="26.1" customHeight="1" thickBot="1" x14ac:dyDescent="0.35">
      <c r="A1" s="1206" t="s">
        <v>195</v>
      </c>
      <c r="B1" s="1207"/>
      <c r="C1" s="1206" t="s">
        <v>701</v>
      </c>
      <c r="D1" s="1208"/>
      <c r="E1" s="1208"/>
      <c r="F1" s="1208"/>
      <c r="G1" s="1208"/>
      <c r="H1" s="1208"/>
      <c r="I1" s="1208"/>
      <c r="J1" s="1208"/>
      <c r="K1" s="1208"/>
      <c r="L1" s="1208"/>
      <c r="M1" s="1208"/>
      <c r="N1" s="1208"/>
      <c r="O1" s="1208"/>
      <c r="P1" s="1208"/>
      <c r="Q1" s="1208"/>
      <c r="R1" s="1208"/>
      <c r="S1" s="1208"/>
      <c r="T1" s="1208"/>
      <c r="U1" s="1208"/>
      <c r="V1" s="1208"/>
      <c r="W1" s="1208"/>
      <c r="X1" s="1208"/>
      <c r="Y1" s="1208"/>
      <c r="Z1" s="1208"/>
      <c r="AA1" s="1208"/>
      <c r="AB1" s="1208"/>
      <c r="AC1" s="1208"/>
      <c r="AD1" s="1208"/>
      <c r="AE1" s="1208"/>
      <c r="AF1" s="1208"/>
      <c r="AG1" s="1208"/>
      <c r="AH1" s="1208"/>
      <c r="AI1" s="1208"/>
      <c r="AJ1" s="1208"/>
      <c r="AK1" s="1208"/>
      <c r="AL1" s="1208"/>
      <c r="AM1" s="1208"/>
      <c r="AN1" s="1208"/>
      <c r="AO1" s="1208"/>
      <c r="AP1" s="1208"/>
      <c r="AQ1" s="1208"/>
    </row>
    <row r="2" spans="1:43" ht="12.6" thickBot="1" x14ac:dyDescent="0.3">
      <c r="A2" s="213"/>
      <c r="B2" s="212"/>
      <c r="C2" s="214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5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5"/>
      <c r="Z2" s="1214" t="s">
        <v>228</v>
      </c>
      <c r="AA2" s="1215"/>
      <c r="AB2" s="1215"/>
      <c r="AC2" s="1215"/>
      <c r="AD2" s="1215"/>
      <c r="AE2" s="1215"/>
      <c r="AF2" s="1215"/>
      <c r="AG2" s="1215"/>
      <c r="AH2" s="1215"/>
      <c r="AI2" s="1215"/>
      <c r="AJ2" s="1215"/>
      <c r="AK2" s="1216"/>
      <c r="AL2" s="1209" t="s">
        <v>227</v>
      </c>
      <c r="AM2" s="1210"/>
      <c r="AN2" s="1210"/>
      <c r="AO2" s="1210"/>
      <c r="AP2" s="1210"/>
      <c r="AQ2" s="1211"/>
    </row>
    <row r="3" spans="1:43" ht="11.1" customHeight="1" thickBot="1" x14ac:dyDescent="0.3">
      <c r="A3" s="242"/>
      <c r="B3" s="240"/>
      <c r="C3" s="241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39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39"/>
      <c r="Z3" s="1209" t="s">
        <v>285</v>
      </c>
      <c r="AA3" s="1210"/>
      <c r="AB3" s="1210"/>
      <c r="AC3" s="1210"/>
      <c r="AD3" s="1209" t="s">
        <v>286</v>
      </c>
      <c r="AE3" s="1210"/>
      <c r="AF3" s="1210"/>
      <c r="AG3" s="1210"/>
      <c r="AH3" s="1210"/>
      <c r="AI3" s="1210"/>
      <c r="AJ3" s="1210"/>
      <c r="AK3" s="1211"/>
      <c r="AL3" s="218"/>
      <c r="AM3" s="219"/>
      <c r="AN3" s="219"/>
      <c r="AO3" s="219"/>
      <c r="AP3" s="219"/>
      <c r="AQ3" s="210"/>
    </row>
    <row r="4" spans="1:43" ht="48" customHeight="1" x14ac:dyDescent="0.25">
      <c r="A4" s="242" t="s">
        <v>196</v>
      </c>
      <c r="B4" s="497" t="s">
        <v>297</v>
      </c>
      <c r="C4" s="241" t="s">
        <v>119</v>
      </c>
      <c r="D4" s="240" t="s">
        <v>120</v>
      </c>
      <c r="E4" s="240" t="s">
        <v>121</v>
      </c>
      <c r="F4" s="240" t="s">
        <v>122</v>
      </c>
      <c r="G4" s="240" t="s">
        <v>123</v>
      </c>
      <c r="H4" s="240" t="s">
        <v>124</v>
      </c>
      <c r="I4" s="240" t="s">
        <v>125</v>
      </c>
      <c r="J4" s="240" t="s">
        <v>126</v>
      </c>
      <c r="K4" s="240" t="s">
        <v>127</v>
      </c>
      <c r="L4" s="240" t="s">
        <v>128</v>
      </c>
      <c r="M4" s="240" t="s">
        <v>129</v>
      </c>
      <c r="N4" s="239" t="s">
        <v>130</v>
      </c>
      <c r="O4" s="240" t="s">
        <v>131</v>
      </c>
      <c r="P4" s="240" t="s">
        <v>132</v>
      </c>
      <c r="Q4" s="240" t="s">
        <v>133</v>
      </c>
      <c r="R4" s="240" t="s">
        <v>134</v>
      </c>
      <c r="S4" s="240" t="s">
        <v>135</v>
      </c>
      <c r="T4" s="240" t="s">
        <v>136</v>
      </c>
      <c r="U4" s="240" t="s">
        <v>137</v>
      </c>
      <c r="V4" s="240" t="s">
        <v>138</v>
      </c>
      <c r="W4" s="240" t="s">
        <v>139</v>
      </c>
      <c r="X4" s="240" t="s">
        <v>140</v>
      </c>
      <c r="Y4" s="239" t="s">
        <v>141</v>
      </c>
      <c r="Z4" s="214" t="s">
        <v>287</v>
      </c>
      <c r="AA4" s="212" t="s">
        <v>288</v>
      </c>
      <c r="AB4" s="212" t="s">
        <v>289</v>
      </c>
      <c r="AC4" s="212" t="s">
        <v>290</v>
      </c>
      <c r="AD4" s="216" t="s">
        <v>188</v>
      </c>
      <c r="AE4" s="217" t="s">
        <v>189</v>
      </c>
      <c r="AF4" s="217" t="s">
        <v>190</v>
      </c>
      <c r="AG4" s="210" t="s">
        <v>192</v>
      </c>
      <c r="AH4" s="210" t="s">
        <v>191</v>
      </c>
      <c r="AI4" s="210" t="s">
        <v>150</v>
      </c>
      <c r="AJ4" s="476" t="s">
        <v>194</v>
      </c>
      <c r="AK4" s="476" t="s">
        <v>197</v>
      </c>
      <c r="AL4" s="476" t="s">
        <v>226</v>
      </c>
      <c r="AM4" s="216" t="s">
        <v>188</v>
      </c>
      <c r="AN4" s="217" t="s">
        <v>189</v>
      </c>
      <c r="AO4" s="217" t="s">
        <v>190</v>
      </c>
      <c r="AP4" s="210" t="s">
        <v>192</v>
      </c>
      <c r="AQ4" s="1212" t="s">
        <v>225</v>
      </c>
    </row>
    <row r="5" spans="1:43" ht="8.25" customHeight="1" thickBot="1" x14ac:dyDescent="0.3">
      <c r="A5" s="118"/>
      <c r="B5" s="119"/>
      <c r="C5" s="120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21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21"/>
      <c r="Z5" s="120"/>
      <c r="AA5" s="119"/>
      <c r="AB5" s="119"/>
      <c r="AC5" s="119"/>
      <c r="AD5" s="218"/>
      <c r="AE5" s="219"/>
      <c r="AF5" s="219"/>
      <c r="AG5" s="221"/>
      <c r="AH5" s="221"/>
      <c r="AI5" s="221"/>
      <c r="AJ5" s="652"/>
      <c r="AK5" s="238"/>
      <c r="AL5" s="223"/>
      <c r="AM5" s="218"/>
      <c r="AN5" s="219"/>
      <c r="AO5" s="219"/>
      <c r="AP5" s="221"/>
      <c r="AQ5" s="1213"/>
    </row>
    <row r="6" spans="1:43" ht="24" x14ac:dyDescent="0.25">
      <c r="A6" s="659" t="s">
        <v>690</v>
      </c>
      <c r="B6" s="660" t="s">
        <v>387</v>
      </c>
      <c r="C6" s="661" t="s">
        <v>698</v>
      </c>
      <c r="D6" s="662" t="s">
        <v>698</v>
      </c>
      <c r="E6" s="662" t="s">
        <v>698</v>
      </c>
      <c r="F6" s="662" t="s">
        <v>698</v>
      </c>
      <c r="G6" s="662" t="s">
        <v>698</v>
      </c>
      <c r="H6" s="662" t="s">
        <v>698</v>
      </c>
      <c r="I6" s="662" t="s">
        <v>698</v>
      </c>
      <c r="J6" s="662" t="s">
        <v>698</v>
      </c>
      <c r="K6" s="662" t="s">
        <v>698</v>
      </c>
      <c r="L6" s="662" t="s">
        <v>698</v>
      </c>
      <c r="M6" s="662" t="s">
        <v>698</v>
      </c>
      <c r="N6" s="663" t="s">
        <v>698</v>
      </c>
      <c r="O6" s="662" t="s">
        <v>698</v>
      </c>
      <c r="P6" s="662" t="s">
        <v>698</v>
      </c>
      <c r="Q6" s="662" t="s">
        <v>698</v>
      </c>
      <c r="R6" s="662" t="s">
        <v>698</v>
      </c>
      <c r="S6" s="662" t="s">
        <v>698</v>
      </c>
      <c r="T6" s="662" t="s">
        <v>698</v>
      </c>
      <c r="U6" s="662" t="s">
        <v>698</v>
      </c>
      <c r="V6" s="662" t="s">
        <v>698</v>
      </c>
      <c r="W6" s="662" t="s">
        <v>698</v>
      </c>
      <c r="X6" s="662" t="s">
        <v>698</v>
      </c>
      <c r="Y6" s="663" t="s">
        <v>698</v>
      </c>
      <c r="Z6" s="664" t="s">
        <v>697</v>
      </c>
      <c r="AA6" s="971">
        <v>2</v>
      </c>
      <c r="AB6" s="971">
        <v>22000</v>
      </c>
      <c r="AC6" s="972">
        <f>AB6*AA6</f>
        <v>44000</v>
      </c>
      <c r="AD6" s="667">
        <v>8062</v>
      </c>
      <c r="AE6" s="668">
        <v>8530</v>
      </c>
      <c r="AF6" s="668">
        <v>880</v>
      </c>
      <c r="AG6" s="440">
        <f t="shared" ref="AG6:AG118" si="0">AD6*AF6+AC6</f>
        <v>7138560</v>
      </c>
      <c r="AH6" s="440">
        <f t="shared" ref="AH6:AH118" si="1">AE6*AF6+AC6</f>
        <v>7550400</v>
      </c>
      <c r="AI6" s="440">
        <f t="shared" ref="AI6:AI118" si="2">AH6-AG6</f>
        <v>411840</v>
      </c>
      <c r="AJ6" s="652">
        <v>1095072</v>
      </c>
      <c r="AK6" s="669"/>
      <c r="AL6" s="441"/>
      <c r="AM6" s="667"/>
      <c r="AN6" s="668"/>
      <c r="AO6" s="668"/>
      <c r="AP6" s="440">
        <f t="shared" ref="AP6:AP118" si="3">AM6*AO6</f>
        <v>0</v>
      </c>
      <c r="AQ6" s="669"/>
    </row>
    <row r="7" spans="1:43" x14ac:dyDescent="0.25">
      <c r="A7" s="670"/>
      <c r="B7" s="671" t="s">
        <v>426</v>
      </c>
      <c r="C7" s="661"/>
      <c r="D7" s="662"/>
      <c r="E7" s="662"/>
      <c r="F7" s="662"/>
      <c r="G7" s="662"/>
      <c r="H7" s="662"/>
      <c r="I7" s="662"/>
      <c r="J7" s="662"/>
      <c r="K7" s="662"/>
      <c r="L7" s="662"/>
      <c r="M7" s="662"/>
      <c r="N7" s="663"/>
      <c r="O7" s="662"/>
      <c r="P7" s="662"/>
      <c r="Q7" s="662"/>
      <c r="R7" s="662"/>
      <c r="S7" s="662"/>
      <c r="T7" s="662"/>
      <c r="U7" s="662"/>
      <c r="V7" s="662"/>
      <c r="W7" s="662"/>
      <c r="X7" s="662"/>
      <c r="Y7" s="663"/>
      <c r="Z7" s="672" t="s">
        <v>699</v>
      </c>
      <c r="AA7" s="961">
        <v>2</v>
      </c>
      <c r="AB7" s="961">
        <v>10200</v>
      </c>
      <c r="AC7" s="962">
        <f>AB7*AA7</f>
        <v>20400</v>
      </c>
      <c r="AD7" s="675"/>
      <c r="AE7" s="676"/>
      <c r="AF7" s="676"/>
      <c r="AG7" s="440"/>
      <c r="AH7" s="440"/>
      <c r="AI7" s="440"/>
      <c r="AJ7" s="652"/>
      <c r="AK7" s="677"/>
      <c r="AL7" s="441"/>
      <c r="AM7" s="675"/>
      <c r="AN7" s="676"/>
      <c r="AO7" s="676"/>
      <c r="AP7" s="440"/>
      <c r="AQ7" s="677"/>
    </row>
    <row r="8" spans="1:43" x14ac:dyDescent="0.25">
      <c r="A8" s="670"/>
      <c r="B8" s="671" t="s">
        <v>388</v>
      </c>
      <c r="C8" s="661"/>
      <c r="D8" s="662"/>
      <c r="E8" s="662"/>
      <c r="F8" s="662"/>
      <c r="G8" s="662"/>
      <c r="H8" s="662"/>
      <c r="I8" s="662"/>
      <c r="J8" s="662"/>
      <c r="K8" s="662"/>
      <c r="L8" s="662"/>
      <c r="M8" s="662"/>
      <c r="N8" s="663"/>
      <c r="O8" s="662"/>
      <c r="P8" s="662"/>
      <c r="Q8" s="662"/>
      <c r="R8" s="662"/>
      <c r="S8" s="662"/>
      <c r="T8" s="662"/>
      <c r="U8" s="662"/>
      <c r="V8" s="662"/>
      <c r="W8" s="662"/>
      <c r="X8" s="662"/>
      <c r="Y8" s="663"/>
      <c r="Z8" s="672" t="s">
        <v>700</v>
      </c>
      <c r="AA8" s="961">
        <v>250</v>
      </c>
      <c r="AB8" s="961">
        <v>160</v>
      </c>
      <c r="AC8" s="962">
        <f>AB8*AA8</f>
        <v>40000</v>
      </c>
      <c r="AD8" s="675"/>
      <c r="AE8" s="676"/>
      <c r="AF8" s="676"/>
      <c r="AG8" s="440"/>
      <c r="AH8" s="440"/>
      <c r="AI8" s="440"/>
      <c r="AJ8" s="652"/>
      <c r="AK8" s="677"/>
      <c r="AL8" s="441"/>
      <c r="AM8" s="675"/>
      <c r="AN8" s="676"/>
      <c r="AO8" s="676"/>
      <c r="AP8" s="440"/>
      <c r="AQ8" s="677"/>
    </row>
    <row r="9" spans="1:43" x14ac:dyDescent="0.25">
      <c r="A9" s="670"/>
      <c r="B9" s="671" t="s">
        <v>429</v>
      </c>
      <c r="C9" s="661"/>
      <c r="D9" s="662"/>
      <c r="E9" s="662"/>
      <c r="F9" s="662"/>
      <c r="G9" s="662"/>
      <c r="H9" s="662"/>
      <c r="I9" s="662"/>
      <c r="J9" s="662"/>
      <c r="K9" s="662"/>
      <c r="L9" s="662"/>
      <c r="M9" s="662"/>
      <c r="N9" s="663"/>
      <c r="O9" s="662"/>
      <c r="P9" s="662"/>
      <c r="Q9" s="662"/>
      <c r="R9" s="662"/>
      <c r="S9" s="662"/>
      <c r="T9" s="662"/>
      <c r="U9" s="662"/>
      <c r="V9" s="662"/>
      <c r="W9" s="662"/>
      <c r="X9" s="662"/>
      <c r="Y9" s="663"/>
      <c r="Z9" s="672"/>
      <c r="AA9" s="673"/>
      <c r="AB9" s="673"/>
      <c r="AC9" s="674"/>
      <c r="AD9" s="675"/>
      <c r="AE9" s="676"/>
      <c r="AF9" s="676"/>
      <c r="AG9" s="440"/>
      <c r="AH9" s="440"/>
      <c r="AI9" s="440"/>
      <c r="AJ9" s="652"/>
      <c r="AK9" s="677"/>
      <c r="AL9" s="441"/>
      <c r="AM9" s="675"/>
      <c r="AN9" s="676"/>
      <c r="AO9" s="676"/>
      <c r="AP9" s="440"/>
      <c r="AQ9" s="677"/>
    </row>
    <row r="10" spans="1:43" ht="24" hidden="1" x14ac:dyDescent="0.25">
      <c r="A10" s="670"/>
      <c r="B10" s="671" t="s">
        <v>389</v>
      </c>
      <c r="C10" s="661"/>
      <c r="D10" s="662"/>
      <c r="E10" s="662"/>
      <c r="F10" s="662"/>
      <c r="G10" s="662"/>
      <c r="H10" s="662"/>
      <c r="I10" s="662"/>
      <c r="J10" s="662"/>
      <c r="K10" s="662"/>
      <c r="L10" s="662"/>
      <c r="M10" s="662"/>
      <c r="N10" s="663"/>
      <c r="O10" s="662"/>
      <c r="P10" s="662"/>
      <c r="Q10" s="662"/>
      <c r="R10" s="662"/>
      <c r="S10" s="662"/>
      <c r="T10" s="662"/>
      <c r="U10" s="662"/>
      <c r="V10" s="662"/>
      <c r="W10" s="662"/>
      <c r="X10" s="662"/>
      <c r="Y10" s="663"/>
      <c r="Z10" s="672"/>
      <c r="AA10" s="673"/>
      <c r="AB10" s="673"/>
      <c r="AC10" s="674"/>
      <c r="AD10" s="675"/>
      <c r="AE10" s="676"/>
      <c r="AF10" s="676"/>
      <c r="AG10" s="440"/>
      <c r="AH10" s="440"/>
      <c r="AI10" s="440"/>
      <c r="AJ10" s="652"/>
      <c r="AK10" s="677"/>
      <c r="AL10" s="441"/>
      <c r="AM10" s="675"/>
      <c r="AN10" s="676"/>
      <c r="AO10" s="676"/>
      <c r="AP10" s="440"/>
      <c r="AQ10" s="677"/>
    </row>
    <row r="11" spans="1:43" ht="48" hidden="1" x14ac:dyDescent="0.25">
      <c r="A11" s="670"/>
      <c r="B11" s="671" t="s">
        <v>427</v>
      </c>
      <c r="C11" s="661"/>
      <c r="D11" s="662"/>
      <c r="E11" s="662"/>
      <c r="F11" s="662"/>
      <c r="G11" s="662"/>
      <c r="H11" s="662"/>
      <c r="I11" s="662"/>
      <c r="J11" s="662"/>
      <c r="K11" s="662"/>
      <c r="L11" s="662"/>
      <c r="M11" s="662"/>
      <c r="N11" s="663"/>
      <c r="O11" s="662"/>
      <c r="P11" s="662"/>
      <c r="Q11" s="662"/>
      <c r="R11" s="662"/>
      <c r="S11" s="662"/>
      <c r="T11" s="662"/>
      <c r="U11" s="662"/>
      <c r="V11" s="662"/>
      <c r="W11" s="662"/>
      <c r="X11" s="662"/>
      <c r="Y11" s="663"/>
      <c r="Z11" s="672"/>
      <c r="AA11" s="673"/>
      <c r="AB11" s="673"/>
      <c r="AC11" s="674"/>
      <c r="AD11" s="675"/>
      <c r="AE11" s="676"/>
      <c r="AF11" s="676"/>
      <c r="AG11" s="440"/>
      <c r="AH11" s="440"/>
      <c r="AI11" s="440"/>
      <c r="AJ11" s="652"/>
      <c r="AK11" s="677"/>
      <c r="AL11" s="441"/>
      <c r="AM11" s="675"/>
      <c r="AN11" s="676"/>
      <c r="AO11" s="676"/>
      <c r="AP11" s="440"/>
      <c r="AQ11" s="677"/>
    </row>
    <row r="12" spans="1:43" hidden="1" x14ac:dyDescent="0.25">
      <c r="A12" s="670"/>
      <c r="B12" s="671" t="s">
        <v>428</v>
      </c>
      <c r="C12" s="661"/>
      <c r="D12" s="662"/>
      <c r="E12" s="662"/>
      <c r="F12" s="662"/>
      <c r="G12" s="662"/>
      <c r="H12" s="662"/>
      <c r="I12" s="662"/>
      <c r="J12" s="662"/>
      <c r="K12" s="662"/>
      <c r="L12" s="662"/>
      <c r="M12" s="662"/>
      <c r="N12" s="663"/>
      <c r="O12" s="662"/>
      <c r="P12" s="662"/>
      <c r="Q12" s="662"/>
      <c r="R12" s="662"/>
      <c r="S12" s="662"/>
      <c r="T12" s="662"/>
      <c r="U12" s="662"/>
      <c r="V12" s="662"/>
      <c r="W12" s="662"/>
      <c r="X12" s="662"/>
      <c r="Y12" s="663"/>
      <c r="Z12" s="672"/>
      <c r="AA12" s="673"/>
      <c r="AB12" s="673"/>
      <c r="AC12" s="674"/>
      <c r="AD12" s="675"/>
      <c r="AE12" s="676"/>
      <c r="AF12" s="676"/>
      <c r="AG12" s="440"/>
      <c r="AH12" s="440"/>
      <c r="AI12" s="440"/>
      <c r="AJ12" s="652"/>
      <c r="AK12" s="677"/>
      <c r="AL12" s="441"/>
      <c r="AM12" s="675"/>
      <c r="AN12" s="676"/>
      <c r="AO12" s="676"/>
      <c r="AP12" s="440"/>
      <c r="AQ12" s="677"/>
    </row>
    <row r="13" spans="1:43" hidden="1" x14ac:dyDescent="0.25">
      <c r="A13" s="670"/>
      <c r="B13" s="671" t="s">
        <v>383</v>
      </c>
      <c r="C13" s="661"/>
      <c r="D13" s="662"/>
      <c r="E13" s="662"/>
      <c r="F13" s="662"/>
      <c r="G13" s="662"/>
      <c r="H13" s="662"/>
      <c r="I13" s="662"/>
      <c r="J13" s="662"/>
      <c r="K13" s="662"/>
      <c r="L13" s="662"/>
      <c r="M13" s="662"/>
      <c r="N13" s="663"/>
      <c r="O13" s="662"/>
      <c r="P13" s="662"/>
      <c r="Q13" s="662"/>
      <c r="R13" s="662"/>
      <c r="S13" s="662"/>
      <c r="T13" s="662"/>
      <c r="U13" s="662"/>
      <c r="V13" s="662"/>
      <c r="W13" s="662"/>
      <c r="X13" s="662"/>
      <c r="Y13" s="663"/>
      <c r="Z13" s="672"/>
      <c r="AA13" s="673"/>
      <c r="AB13" s="673"/>
      <c r="AC13" s="674"/>
      <c r="AD13" s="675"/>
      <c r="AE13" s="676"/>
      <c r="AF13" s="676"/>
      <c r="AG13" s="440"/>
      <c r="AH13" s="440"/>
      <c r="AI13" s="440"/>
      <c r="AJ13" s="652"/>
      <c r="AK13" s="677"/>
      <c r="AL13" s="441"/>
      <c r="AM13" s="675"/>
      <c r="AN13" s="676"/>
      <c r="AO13" s="676"/>
      <c r="AP13" s="440"/>
      <c r="AQ13" s="677"/>
    </row>
    <row r="14" spans="1:43" hidden="1" x14ac:dyDescent="0.25">
      <c r="A14" s="670"/>
      <c r="B14" s="671" t="s">
        <v>390</v>
      </c>
      <c r="C14" s="661"/>
      <c r="D14" s="662"/>
      <c r="E14" s="662"/>
      <c r="F14" s="662"/>
      <c r="G14" s="662"/>
      <c r="H14" s="662"/>
      <c r="I14" s="662"/>
      <c r="J14" s="662"/>
      <c r="K14" s="662"/>
      <c r="L14" s="662"/>
      <c r="M14" s="662"/>
      <c r="N14" s="663"/>
      <c r="O14" s="662"/>
      <c r="P14" s="662"/>
      <c r="Q14" s="662"/>
      <c r="R14" s="662"/>
      <c r="S14" s="662"/>
      <c r="T14" s="662"/>
      <c r="U14" s="662"/>
      <c r="V14" s="662"/>
      <c r="W14" s="662"/>
      <c r="X14" s="662"/>
      <c r="Y14" s="663"/>
      <c r="Z14" s="672"/>
      <c r="AA14" s="673"/>
      <c r="AB14" s="673"/>
      <c r="AC14" s="674"/>
      <c r="AD14" s="675"/>
      <c r="AE14" s="676"/>
      <c r="AF14" s="676"/>
      <c r="AG14" s="440"/>
      <c r="AH14" s="440"/>
      <c r="AI14" s="440"/>
      <c r="AJ14" s="652"/>
      <c r="AK14" s="677"/>
      <c r="AL14" s="441"/>
      <c r="AM14" s="675"/>
      <c r="AN14" s="676"/>
      <c r="AO14" s="676"/>
      <c r="AP14" s="440"/>
      <c r="AQ14" s="677"/>
    </row>
    <row r="15" spans="1:43" ht="60" hidden="1" x14ac:dyDescent="0.25">
      <c r="A15" s="670"/>
      <c r="B15" s="671" t="s">
        <v>384</v>
      </c>
      <c r="C15" s="661"/>
      <c r="D15" s="662"/>
      <c r="E15" s="662"/>
      <c r="F15" s="662"/>
      <c r="G15" s="662"/>
      <c r="H15" s="662"/>
      <c r="I15" s="662"/>
      <c r="J15" s="662"/>
      <c r="K15" s="662"/>
      <c r="L15" s="662"/>
      <c r="M15" s="662"/>
      <c r="N15" s="663"/>
      <c r="O15" s="662"/>
      <c r="P15" s="662"/>
      <c r="Q15" s="662"/>
      <c r="R15" s="662"/>
      <c r="S15" s="662"/>
      <c r="T15" s="662"/>
      <c r="U15" s="662"/>
      <c r="V15" s="662"/>
      <c r="W15" s="662"/>
      <c r="X15" s="662"/>
      <c r="Y15" s="663"/>
      <c r="Z15" s="672"/>
      <c r="AA15" s="673"/>
      <c r="AB15" s="673"/>
      <c r="AC15" s="674"/>
      <c r="AD15" s="675"/>
      <c r="AE15" s="676"/>
      <c r="AF15" s="676"/>
      <c r="AG15" s="440"/>
      <c r="AH15" s="440"/>
      <c r="AI15" s="440"/>
      <c r="AJ15" s="652"/>
      <c r="AK15" s="677"/>
      <c r="AL15" s="441"/>
      <c r="AM15" s="675"/>
      <c r="AN15" s="676"/>
      <c r="AO15" s="676"/>
      <c r="AP15" s="440"/>
      <c r="AQ15" s="677"/>
    </row>
    <row r="16" spans="1:43" hidden="1" x14ac:dyDescent="0.25">
      <c r="A16" s="670"/>
      <c r="B16" s="671" t="s">
        <v>391</v>
      </c>
      <c r="C16" s="661"/>
      <c r="D16" s="662"/>
      <c r="E16" s="662"/>
      <c r="F16" s="662"/>
      <c r="G16" s="662"/>
      <c r="H16" s="662"/>
      <c r="I16" s="662"/>
      <c r="J16" s="662"/>
      <c r="K16" s="662"/>
      <c r="L16" s="662"/>
      <c r="M16" s="662"/>
      <c r="N16" s="663"/>
      <c r="O16" s="662"/>
      <c r="P16" s="662"/>
      <c r="Q16" s="662"/>
      <c r="R16" s="662"/>
      <c r="S16" s="662"/>
      <c r="T16" s="662"/>
      <c r="U16" s="662"/>
      <c r="V16" s="662"/>
      <c r="W16" s="662"/>
      <c r="X16" s="662"/>
      <c r="Y16" s="663"/>
      <c r="Z16" s="672"/>
      <c r="AA16" s="673"/>
      <c r="AB16" s="673"/>
      <c r="AC16" s="674"/>
      <c r="AD16" s="675"/>
      <c r="AE16" s="676"/>
      <c r="AF16" s="676"/>
      <c r="AG16" s="440"/>
      <c r="AH16" s="440"/>
      <c r="AI16" s="440"/>
      <c r="AJ16" s="652"/>
      <c r="AK16" s="677"/>
      <c r="AL16" s="441"/>
      <c r="AM16" s="675"/>
      <c r="AN16" s="676"/>
      <c r="AO16" s="676"/>
      <c r="AP16" s="440"/>
      <c r="AQ16" s="677"/>
    </row>
    <row r="17" spans="1:43" hidden="1" x14ac:dyDescent="0.25">
      <c r="A17" s="670"/>
      <c r="B17" s="671" t="s">
        <v>385</v>
      </c>
      <c r="C17" s="661"/>
      <c r="D17" s="662"/>
      <c r="E17" s="662"/>
      <c r="F17" s="662"/>
      <c r="G17" s="662"/>
      <c r="H17" s="662"/>
      <c r="I17" s="662"/>
      <c r="J17" s="662"/>
      <c r="K17" s="662"/>
      <c r="L17" s="662"/>
      <c r="M17" s="662"/>
      <c r="N17" s="663"/>
      <c r="O17" s="662"/>
      <c r="P17" s="662"/>
      <c r="Q17" s="662"/>
      <c r="R17" s="662"/>
      <c r="S17" s="662"/>
      <c r="T17" s="662"/>
      <c r="U17" s="662"/>
      <c r="V17" s="662"/>
      <c r="W17" s="662"/>
      <c r="X17" s="662"/>
      <c r="Y17" s="663"/>
      <c r="Z17" s="672"/>
      <c r="AA17" s="673"/>
      <c r="AB17" s="673"/>
      <c r="AC17" s="674"/>
      <c r="AD17" s="675"/>
      <c r="AE17" s="676"/>
      <c r="AF17" s="676"/>
      <c r="AG17" s="440"/>
      <c r="AH17" s="440"/>
      <c r="AI17" s="440"/>
      <c r="AJ17" s="652"/>
      <c r="AK17" s="677"/>
      <c r="AL17" s="441"/>
      <c r="AM17" s="675"/>
      <c r="AN17" s="676"/>
      <c r="AO17" s="676"/>
      <c r="AP17" s="440"/>
      <c r="AQ17" s="677"/>
    </row>
    <row r="18" spans="1:43" hidden="1" x14ac:dyDescent="0.25">
      <c r="A18" s="670"/>
      <c r="B18" s="671" t="s">
        <v>392</v>
      </c>
      <c r="C18" s="661"/>
      <c r="D18" s="662"/>
      <c r="E18" s="662"/>
      <c r="F18" s="662"/>
      <c r="G18" s="662"/>
      <c r="H18" s="662"/>
      <c r="I18" s="662"/>
      <c r="J18" s="662"/>
      <c r="K18" s="662"/>
      <c r="L18" s="662"/>
      <c r="M18" s="662"/>
      <c r="N18" s="663"/>
      <c r="O18" s="662"/>
      <c r="P18" s="662"/>
      <c r="Q18" s="662"/>
      <c r="R18" s="662"/>
      <c r="S18" s="662"/>
      <c r="T18" s="662"/>
      <c r="U18" s="662"/>
      <c r="V18" s="662"/>
      <c r="W18" s="662"/>
      <c r="X18" s="662"/>
      <c r="Y18" s="663"/>
      <c r="Z18" s="672"/>
      <c r="AA18" s="673"/>
      <c r="AB18" s="673"/>
      <c r="AC18" s="674"/>
      <c r="AD18" s="675"/>
      <c r="AE18" s="676"/>
      <c r="AF18" s="676"/>
      <c r="AG18" s="440"/>
      <c r="AH18" s="440"/>
      <c r="AI18" s="440"/>
      <c r="AJ18" s="652"/>
      <c r="AK18" s="677"/>
      <c r="AL18" s="441"/>
      <c r="AM18" s="675"/>
      <c r="AN18" s="676"/>
      <c r="AO18" s="676"/>
      <c r="AP18" s="440"/>
      <c r="AQ18" s="677"/>
    </row>
    <row r="19" spans="1:43" ht="36" hidden="1" x14ac:dyDescent="0.25">
      <c r="A19" s="670"/>
      <c r="B19" s="671" t="s">
        <v>386</v>
      </c>
      <c r="C19" s="661"/>
      <c r="D19" s="662"/>
      <c r="E19" s="662"/>
      <c r="F19" s="662"/>
      <c r="G19" s="662"/>
      <c r="H19" s="662"/>
      <c r="I19" s="662"/>
      <c r="J19" s="662"/>
      <c r="K19" s="662"/>
      <c r="L19" s="662"/>
      <c r="M19" s="662"/>
      <c r="N19" s="663"/>
      <c r="O19" s="662"/>
      <c r="P19" s="662"/>
      <c r="Q19" s="662"/>
      <c r="R19" s="662"/>
      <c r="S19" s="662"/>
      <c r="T19" s="662"/>
      <c r="U19" s="662"/>
      <c r="V19" s="662"/>
      <c r="W19" s="662"/>
      <c r="X19" s="662"/>
      <c r="Y19" s="663"/>
      <c r="Z19" s="672"/>
      <c r="AA19" s="673"/>
      <c r="AB19" s="673"/>
      <c r="AC19" s="674"/>
      <c r="AD19" s="675"/>
      <c r="AE19" s="676"/>
      <c r="AF19" s="676"/>
      <c r="AG19" s="440"/>
      <c r="AH19" s="440"/>
      <c r="AI19" s="440"/>
      <c r="AJ19" s="652"/>
      <c r="AK19" s="677"/>
      <c r="AL19" s="441"/>
      <c r="AM19" s="675"/>
      <c r="AN19" s="676"/>
      <c r="AO19" s="676"/>
      <c r="AP19" s="440"/>
      <c r="AQ19" s="677"/>
    </row>
    <row r="20" spans="1:43" hidden="1" x14ac:dyDescent="0.25">
      <c r="A20" s="670"/>
      <c r="B20" s="671" t="s">
        <v>393</v>
      </c>
      <c r="C20" s="661"/>
      <c r="D20" s="662"/>
      <c r="E20" s="662"/>
      <c r="F20" s="662"/>
      <c r="G20" s="662"/>
      <c r="H20" s="662"/>
      <c r="I20" s="662"/>
      <c r="J20" s="662"/>
      <c r="K20" s="662"/>
      <c r="L20" s="662"/>
      <c r="M20" s="662"/>
      <c r="N20" s="663"/>
      <c r="O20" s="662"/>
      <c r="P20" s="662"/>
      <c r="Q20" s="662"/>
      <c r="R20" s="662"/>
      <c r="S20" s="662"/>
      <c r="T20" s="662"/>
      <c r="U20" s="662"/>
      <c r="V20" s="662"/>
      <c r="W20" s="662"/>
      <c r="X20" s="662"/>
      <c r="Y20" s="663"/>
      <c r="Z20" s="672"/>
      <c r="AA20" s="673"/>
      <c r="AB20" s="673"/>
      <c r="AC20" s="674"/>
      <c r="AD20" s="675"/>
      <c r="AE20" s="676"/>
      <c r="AF20" s="676"/>
      <c r="AG20" s="440"/>
      <c r="AH20" s="440"/>
      <c r="AI20" s="440"/>
      <c r="AJ20" s="652"/>
      <c r="AK20" s="677"/>
      <c r="AL20" s="441"/>
      <c r="AM20" s="675"/>
      <c r="AN20" s="676"/>
      <c r="AO20" s="676"/>
      <c r="AP20" s="440"/>
      <c r="AQ20" s="677"/>
    </row>
    <row r="21" spans="1:43" hidden="1" x14ac:dyDescent="0.25">
      <c r="A21" s="670"/>
      <c r="B21" s="671" t="s">
        <v>394</v>
      </c>
      <c r="C21" s="661"/>
      <c r="D21" s="662"/>
      <c r="E21" s="662"/>
      <c r="F21" s="662"/>
      <c r="G21" s="662"/>
      <c r="H21" s="662"/>
      <c r="I21" s="662"/>
      <c r="J21" s="662"/>
      <c r="K21" s="662"/>
      <c r="L21" s="662"/>
      <c r="M21" s="662"/>
      <c r="N21" s="663"/>
      <c r="O21" s="662"/>
      <c r="P21" s="662"/>
      <c r="Q21" s="662"/>
      <c r="R21" s="662"/>
      <c r="S21" s="662"/>
      <c r="T21" s="662"/>
      <c r="U21" s="662"/>
      <c r="V21" s="662"/>
      <c r="W21" s="662"/>
      <c r="X21" s="662"/>
      <c r="Y21" s="663"/>
      <c r="Z21" s="672"/>
      <c r="AA21" s="673"/>
      <c r="AB21" s="673"/>
      <c r="AC21" s="674"/>
      <c r="AD21" s="675"/>
      <c r="AE21" s="676"/>
      <c r="AF21" s="676"/>
      <c r="AG21" s="440"/>
      <c r="AH21" s="440"/>
      <c r="AI21" s="440"/>
      <c r="AJ21" s="652"/>
      <c r="AK21" s="677"/>
      <c r="AL21" s="441"/>
      <c r="AM21" s="675"/>
      <c r="AN21" s="676"/>
      <c r="AO21" s="676"/>
      <c r="AP21" s="440"/>
      <c r="AQ21" s="677"/>
    </row>
    <row r="22" spans="1:43" ht="24" hidden="1" x14ac:dyDescent="0.25">
      <c r="A22" s="670"/>
      <c r="B22" s="671" t="s">
        <v>395</v>
      </c>
      <c r="C22" s="661"/>
      <c r="D22" s="662"/>
      <c r="E22" s="662"/>
      <c r="F22" s="662"/>
      <c r="G22" s="662"/>
      <c r="H22" s="662"/>
      <c r="I22" s="662"/>
      <c r="J22" s="662"/>
      <c r="K22" s="662"/>
      <c r="L22" s="662"/>
      <c r="M22" s="662"/>
      <c r="N22" s="663"/>
      <c r="O22" s="662"/>
      <c r="P22" s="662"/>
      <c r="Q22" s="662"/>
      <c r="R22" s="662"/>
      <c r="S22" s="662"/>
      <c r="T22" s="662"/>
      <c r="U22" s="662"/>
      <c r="V22" s="662"/>
      <c r="W22" s="662"/>
      <c r="X22" s="662"/>
      <c r="Y22" s="663"/>
      <c r="Z22" s="672"/>
      <c r="AA22" s="673"/>
      <c r="AB22" s="673"/>
      <c r="AC22" s="674"/>
      <c r="AD22" s="675"/>
      <c r="AE22" s="676"/>
      <c r="AF22" s="676"/>
      <c r="AG22" s="440"/>
      <c r="AH22" s="440"/>
      <c r="AI22" s="440"/>
      <c r="AJ22" s="652"/>
      <c r="AK22" s="677"/>
      <c r="AL22" s="441"/>
      <c r="AM22" s="675"/>
      <c r="AN22" s="676"/>
      <c r="AO22" s="676"/>
      <c r="AP22" s="440"/>
      <c r="AQ22" s="677"/>
    </row>
    <row r="23" spans="1:43" hidden="1" x14ac:dyDescent="0.25">
      <c r="A23" s="670"/>
      <c r="B23" s="671" t="s">
        <v>396</v>
      </c>
      <c r="C23" s="661"/>
      <c r="D23" s="662"/>
      <c r="E23" s="662"/>
      <c r="F23" s="662"/>
      <c r="G23" s="662"/>
      <c r="H23" s="662"/>
      <c r="I23" s="662"/>
      <c r="J23" s="662"/>
      <c r="K23" s="662"/>
      <c r="L23" s="662"/>
      <c r="M23" s="662"/>
      <c r="N23" s="663"/>
      <c r="O23" s="662"/>
      <c r="P23" s="662"/>
      <c r="Q23" s="662"/>
      <c r="R23" s="662"/>
      <c r="S23" s="662"/>
      <c r="T23" s="662"/>
      <c r="U23" s="662"/>
      <c r="V23" s="662"/>
      <c r="W23" s="662"/>
      <c r="X23" s="662"/>
      <c r="Y23" s="663"/>
      <c r="Z23" s="672"/>
      <c r="AA23" s="673"/>
      <c r="AB23" s="673"/>
      <c r="AC23" s="674"/>
      <c r="AD23" s="675"/>
      <c r="AE23" s="676"/>
      <c r="AF23" s="676"/>
      <c r="AG23" s="440"/>
      <c r="AH23" s="440"/>
      <c r="AI23" s="440"/>
      <c r="AJ23" s="652"/>
      <c r="AK23" s="677"/>
      <c r="AL23" s="441"/>
      <c r="AM23" s="675"/>
      <c r="AN23" s="676"/>
      <c r="AO23" s="676"/>
      <c r="AP23" s="440"/>
      <c r="AQ23" s="677"/>
    </row>
    <row r="24" spans="1:43" ht="48" hidden="1" x14ac:dyDescent="0.25">
      <c r="A24" s="670"/>
      <c r="B24" s="671" t="s">
        <v>430</v>
      </c>
      <c r="C24" s="661"/>
      <c r="D24" s="662"/>
      <c r="E24" s="662"/>
      <c r="F24" s="662"/>
      <c r="G24" s="662"/>
      <c r="H24" s="662"/>
      <c r="I24" s="662"/>
      <c r="J24" s="662"/>
      <c r="K24" s="662"/>
      <c r="L24" s="662"/>
      <c r="M24" s="662"/>
      <c r="N24" s="663"/>
      <c r="O24" s="662"/>
      <c r="P24" s="662"/>
      <c r="Q24" s="662"/>
      <c r="R24" s="662"/>
      <c r="S24" s="662"/>
      <c r="T24" s="662"/>
      <c r="U24" s="662"/>
      <c r="V24" s="662"/>
      <c r="W24" s="662"/>
      <c r="X24" s="662"/>
      <c r="Y24" s="663"/>
      <c r="Z24" s="672"/>
      <c r="AA24" s="673"/>
      <c r="AB24" s="673"/>
      <c r="AC24" s="674"/>
      <c r="AD24" s="675"/>
      <c r="AE24" s="676"/>
      <c r="AF24" s="676"/>
      <c r="AG24" s="440"/>
      <c r="AH24" s="440"/>
      <c r="AI24" s="440"/>
      <c r="AJ24" s="652"/>
      <c r="AK24" s="677"/>
      <c r="AL24" s="441"/>
      <c r="AM24" s="675"/>
      <c r="AN24" s="676"/>
      <c r="AO24" s="676"/>
      <c r="AP24" s="440"/>
      <c r="AQ24" s="677"/>
    </row>
    <row r="25" spans="1:43" hidden="1" x14ac:dyDescent="0.25">
      <c r="A25" s="670"/>
      <c r="B25" s="671" t="s">
        <v>397</v>
      </c>
      <c r="C25" s="661"/>
      <c r="D25" s="662"/>
      <c r="E25" s="662"/>
      <c r="F25" s="662"/>
      <c r="G25" s="662"/>
      <c r="H25" s="662"/>
      <c r="I25" s="662"/>
      <c r="J25" s="662"/>
      <c r="K25" s="662"/>
      <c r="L25" s="662"/>
      <c r="M25" s="662"/>
      <c r="N25" s="663"/>
      <c r="O25" s="662"/>
      <c r="P25" s="662"/>
      <c r="Q25" s="662"/>
      <c r="R25" s="662"/>
      <c r="S25" s="662"/>
      <c r="T25" s="662"/>
      <c r="U25" s="662"/>
      <c r="V25" s="662"/>
      <c r="W25" s="662"/>
      <c r="X25" s="662"/>
      <c r="Y25" s="663"/>
      <c r="Z25" s="672"/>
      <c r="AA25" s="673"/>
      <c r="AB25" s="673"/>
      <c r="AC25" s="674"/>
      <c r="AD25" s="675"/>
      <c r="AE25" s="676"/>
      <c r="AF25" s="676"/>
      <c r="AG25" s="440"/>
      <c r="AH25" s="440"/>
      <c r="AI25" s="440"/>
      <c r="AJ25" s="652"/>
      <c r="AK25" s="677"/>
      <c r="AL25" s="441"/>
      <c r="AM25" s="675"/>
      <c r="AN25" s="676"/>
      <c r="AO25" s="676"/>
      <c r="AP25" s="440"/>
      <c r="AQ25" s="677"/>
    </row>
    <row r="26" spans="1:43" ht="36" hidden="1" x14ac:dyDescent="0.25">
      <c r="A26" s="670"/>
      <c r="B26" s="671" t="s">
        <v>398</v>
      </c>
      <c r="C26" s="661"/>
      <c r="D26" s="662"/>
      <c r="E26" s="662"/>
      <c r="F26" s="662"/>
      <c r="G26" s="662"/>
      <c r="H26" s="662"/>
      <c r="I26" s="662"/>
      <c r="J26" s="662"/>
      <c r="K26" s="662"/>
      <c r="L26" s="662"/>
      <c r="M26" s="662"/>
      <c r="N26" s="663"/>
      <c r="O26" s="662"/>
      <c r="P26" s="662"/>
      <c r="Q26" s="662"/>
      <c r="R26" s="662"/>
      <c r="S26" s="662"/>
      <c r="T26" s="662"/>
      <c r="U26" s="662"/>
      <c r="V26" s="662"/>
      <c r="W26" s="662"/>
      <c r="X26" s="662"/>
      <c r="Y26" s="663"/>
      <c r="Z26" s="672"/>
      <c r="AA26" s="673"/>
      <c r="AB26" s="673"/>
      <c r="AC26" s="674"/>
      <c r="AD26" s="675"/>
      <c r="AE26" s="676"/>
      <c r="AF26" s="676"/>
      <c r="AG26" s="440"/>
      <c r="AH26" s="440"/>
      <c r="AI26" s="440"/>
      <c r="AJ26" s="652"/>
      <c r="AK26" s="677"/>
      <c r="AL26" s="441"/>
      <c r="AM26" s="675"/>
      <c r="AN26" s="676"/>
      <c r="AO26" s="676"/>
      <c r="AP26" s="440"/>
      <c r="AQ26" s="677"/>
    </row>
    <row r="27" spans="1:43" hidden="1" x14ac:dyDescent="0.25">
      <c r="A27" s="670"/>
      <c r="B27" s="671" t="s">
        <v>399</v>
      </c>
      <c r="C27" s="661"/>
      <c r="D27" s="662"/>
      <c r="E27" s="662"/>
      <c r="F27" s="662"/>
      <c r="G27" s="662"/>
      <c r="H27" s="662"/>
      <c r="I27" s="662"/>
      <c r="J27" s="662"/>
      <c r="K27" s="662"/>
      <c r="L27" s="662"/>
      <c r="M27" s="662"/>
      <c r="N27" s="663"/>
      <c r="O27" s="662"/>
      <c r="P27" s="662"/>
      <c r="Q27" s="662"/>
      <c r="R27" s="662"/>
      <c r="S27" s="662"/>
      <c r="T27" s="662"/>
      <c r="U27" s="662"/>
      <c r="V27" s="662"/>
      <c r="W27" s="662"/>
      <c r="X27" s="662"/>
      <c r="Y27" s="663"/>
      <c r="Z27" s="672"/>
      <c r="AA27" s="673"/>
      <c r="AB27" s="673"/>
      <c r="AC27" s="674"/>
      <c r="AD27" s="675"/>
      <c r="AE27" s="676"/>
      <c r="AF27" s="676"/>
      <c r="AG27" s="440"/>
      <c r="AH27" s="440"/>
      <c r="AI27" s="440"/>
      <c r="AJ27" s="652"/>
      <c r="AK27" s="677"/>
      <c r="AL27" s="441"/>
      <c r="AM27" s="675"/>
      <c r="AN27" s="676"/>
      <c r="AO27" s="676"/>
      <c r="AP27" s="440"/>
      <c r="AQ27" s="677"/>
    </row>
    <row r="28" spans="1:43" hidden="1" x14ac:dyDescent="0.25">
      <c r="A28" s="670"/>
      <c r="B28" s="671" t="s">
        <v>400</v>
      </c>
      <c r="C28" s="661"/>
      <c r="D28" s="662"/>
      <c r="E28" s="662"/>
      <c r="F28" s="662"/>
      <c r="G28" s="662"/>
      <c r="H28" s="662"/>
      <c r="I28" s="662"/>
      <c r="J28" s="662"/>
      <c r="K28" s="662"/>
      <c r="L28" s="662"/>
      <c r="M28" s="662"/>
      <c r="N28" s="663"/>
      <c r="O28" s="662"/>
      <c r="P28" s="662"/>
      <c r="Q28" s="662"/>
      <c r="R28" s="662"/>
      <c r="S28" s="662"/>
      <c r="T28" s="662"/>
      <c r="U28" s="662"/>
      <c r="V28" s="662"/>
      <c r="W28" s="662"/>
      <c r="X28" s="662"/>
      <c r="Y28" s="663"/>
      <c r="Z28" s="672"/>
      <c r="AA28" s="673"/>
      <c r="AB28" s="673"/>
      <c r="AC28" s="674"/>
      <c r="AD28" s="675"/>
      <c r="AE28" s="676"/>
      <c r="AF28" s="676"/>
      <c r="AG28" s="440"/>
      <c r="AH28" s="440"/>
      <c r="AI28" s="440"/>
      <c r="AJ28" s="652"/>
      <c r="AK28" s="677"/>
      <c r="AL28" s="441"/>
      <c r="AM28" s="675"/>
      <c r="AN28" s="676"/>
      <c r="AO28" s="676"/>
      <c r="AP28" s="440"/>
      <c r="AQ28" s="677"/>
    </row>
    <row r="29" spans="1:43" hidden="1" x14ac:dyDescent="0.25">
      <c r="A29" s="670"/>
      <c r="B29" s="671" t="s">
        <v>401</v>
      </c>
      <c r="C29" s="661"/>
      <c r="D29" s="662"/>
      <c r="E29" s="662"/>
      <c r="F29" s="662"/>
      <c r="G29" s="662"/>
      <c r="H29" s="662"/>
      <c r="I29" s="662"/>
      <c r="J29" s="662"/>
      <c r="K29" s="662"/>
      <c r="L29" s="662"/>
      <c r="M29" s="662"/>
      <c r="N29" s="663"/>
      <c r="O29" s="662"/>
      <c r="P29" s="662"/>
      <c r="Q29" s="662"/>
      <c r="R29" s="662"/>
      <c r="S29" s="662"/>
      <c r="T29" s="662"/>
      <c r="U29" s="662"/>
      <c r="V29" s="662"/>
      <c r="W29" s="662"/>
      <c r="X29" s="662"/>
      <c r="Y29" s="663"/>
      <c r="Z29" s="672"/>
      <c r="AA29" s="673"/>
      <c r="AB29" s="673"/>
      <c r="AC29" s="674"/>
      <c r="AD29" s="675"/>
      <c r="AE29" s="676"/>
      <c r="AF29" s="676"/>
      <c r="AG29" s="440"/>
      <c r="AH29" s="440"/>
      <c r="AI29" s="440"/>
      <c r="AJ29" s="652"/>
      <c r="AK29" s="677"/>
      <c r="AL29" s="441"/>
      <c r="AM29" s="675"/>
      <c r="AN29" s="676"/>
      <c r="AO29" s="676"/>
      <c r="AP29" s="440"/>
      <c r="AQ29" s="677"/>
    </row>
    <row r="30" spans="1:43" ht="36" hidden="1" x14ac:dyDescent="0.25">
      <c r="A30" s="670"/>
      <c r="B30" s="671" t="s">
        <v>475</v>
      </c>
      <c r="C30" s="661"/>
      <c r="D30" s="662"/>
      <c r="E30" s="662"/>
      <c r="F30" s="662"/>
      <c r="G30" s="662"/>
      <c r="H30" s="662"/>
      <c r="I30" s="662"/>
      <c r="J30" s="662"/>
      <c r="K30" s="662"/>
      <c r="L30" s="662"/>
      <c r="M30" s="662"/>
      <c r="N30" s="663"/>
      <c r="O30" s="662"/>
      <c r="P30" s="662"/>
      <c r="Q30" s="662"/>
      <c r="R30" s="662"/>
      <c r="S30" s="662"/>
      <c r="T30" s="662"/>
      <c r="U30" s="662"/>
      <c r="V30" s="662"/>
      <c r="W30" s="662"/>
      <c r="X30" s="662"/>
      <c r="Y30" s="663"/>
      <c r="Z30" s="672"/>
      <c r="AA30" s="673"/>
      <c r="AB30" s="673"/>
      <c r="AC30" s="674"/>
      <c r="AD30" s="675"/>
      <c r="AE30" s="676"/>
      <c r="AF30" s="676"/>
      <c r="AG30" s="440"/>
      <c r="AH30" s="440"/>
      <c r="AI30" s="440"/>
      <c r="AJ30" s="652"/>
      <c r="AK30" s="677"/>
      <c r="AL30" s="441"/>
      <c r="AM30" s="675"/>
      <c r="AN30" s="676"/>
      <c r="AO30" s="676"/>
      <c r="AP30" s="440"/>
      <c r="AQ30" s="677"/>
    </row>
    <row r="31" spans="1:43" hidden="1" x14ac:dyDescent="0.25">
      <c r="A31" s="670"/>
      <c r="B31" s="671" t="s">
        <v>431</v>
      </c>
      <c r="C31" s="661"/>
      <c r="D31" s="662"/>
      <c r="E31" s="662"/>
      <c r="F31" s="662"/>
      <c r="G31" s="662"/>
      <c r="H31" s="662"/>
      <c r="I31" s="662"/>
      <c r="J31" s="662"/>
      <c r="K31" s="662"/>
      <c r="L31" s="662"/>
      <c r="M31" s="662"/>
      <c r="N31" s="663"/>
      <c r="O31" s="662"/>
      <c r="P31" s="662"/>
      <c r="Q31" s="662"/>
      <c r="R31" s="662"/>
      <c r="S31" s="662"/>
      <c r="T31" s="662"/>
      <c r="U31" s="662"/>
      <c r="V31" s="662"/>
      <c r="W31" s="662"/>
      <c r="X31" s="662"/>
      <c r="Y31" s="663"/>
      <c r="Z31" s="672"/>
      <c r="AA31" s="673"/>
      <c r="AB31" s="673"/>
      <c r="AC31" s="674"/>
      <c r="AD31" s="675"/>
      <c r="AE31" s="676"/>
      <c r="AF31" s="676"/>
      <c r="AG31" s="440"/>
      <c r="AH31" s="440"/>
      <c r="AI31" s="440"/>
      <c r="AJ31" s="652"/>
      <c r="AK31" s="677"/>
      <c r="AL31" s="441"/>
      <c r="AM31" s="675"/>
      <c r="AN31" s="676"/>
      <c r="AO31" s="676"/>
      <c r="AP31" s="440"/>
      <c r="AQ31" s="677"/>
    </row>
    <row r="32" spans="1:43" ht="24" hidden="1" x14ac:dyDescent="0.25">
      <c r="A32" s="670"/>
      <c r="B32" s="671" t="s">
        <v>476</v>
      </c>
      <c r="C32" s="661"/>
      <c r="D32" s="662"/>
      <c r="E32" s="662"/>
      <c r="F32" s="662"/>
      <c r="G32" s="662"/>
      <c r="H32" s="662"/>
      <c r="I32" s="662"/>
      <c r="J32" s="662"/>
      <c r="K32" s="662"/>
      <c r="L32" s="662"/>
      <c r="M32" s="662"/>
      <c r="N32" s="663"/>
      <c r="O32" s="662"/>
      <c r="P32" s="662"/>
      <c r="Q32" s="662"/>
      <c r="R32" s="662"/>
      <c r="S32" s="662"/>
      <c r="T32" s="662"/>
      <c r="U32" s="662"/>
      <c r="V32" s="662"/>
      <c r="W32" s="662"/>
      <c r="X32" s="662"/>
      <c r="Y32" s="663"/>
      <c r="Z32" s="672"/>
      <c r="AA32" s="673"/>
      <c r="AB32" s="673"/>
      <c r="AC32" s="674"/>
      <c r="AD32" s="675"/>
      <c r="AE32" s="676"/>
      <c r="AF32" s="676"/>
      <c r="AG32" s="440"/>
      <c r="AH32" s="440"/>
      <c r="AI32" s="440"/>
      <c r="AJ32" s="652"/>
      <c r="AK32" s="677"/>
      <c r="AL32" s="441"/>
      <c r="AM32" s="675"/>
      <c r="AN32" s="676"/>
      <c r="AO32" s="676"/>
      <c r="AP32" s="440"/>
      <c r="AQ32" s="677"/>
    </row>
    <row r="33" spans="1:43" ht="48" hidden="1" x14ac:dyDescent="0.25">
      <c r="A33" s="670"/>
      <c r="B33" s="671" t="s">
        <v>404</v>
      </c>
      <c r="C33" s="661"/>
      <c r="D33" s="662"/>
      <c r="E33" s="662"/>
      <c r="F33" s="662"/>
      <c r="G33" s="662"/>
      <c r="H33" s="662"/>
      <c r="I33" s="662"/>
      <c r="J33" s="662"/>
      <c r="K33" s="662"/>
      <c r="L33" s="662"/>
      <c r="M33" s="662"/>
      <c r="N33" s="663"/>
      <c r="O33" s="662"/>
      <c r="P33" s="662"/>
      <c r="Q33" s="662"/>
      <c r="R33" s="662"/>
      <c r="S33" s="662"/>
      <c r="T33" s="662"/>
      <c r="U33" s="662"/>
      <c r="V33" s="662"/>
      <c r="W33" s="662"/>
      <c r="X33" s="662"/>
      <c r="Y33" s="663"/>
      <c r="Z33" s="672"/>
      <c r="AA33" s="673"/>
      <c r="AB33" s="673"/>
      <c r="AC33" s="674"/>
      <c r="AD33" s="675"/>
      <c r="AE33" s="676"/>
      <c r="AF33" s="676"/>
      <c r="AG33" s="440"/>
      <c r="AH33" s="440"/>
      <c r="AI33" s="440"/>
      <c r="AJ33" s="652"/>
      <c r="AK33" s="677"/>
      <c r="AL33" s="441"/>
      <c r="AM33" s="675"/>
      <c r="AN33" s="676"/>
      <c r="AO33" s="676"/>
      <c r="AP33" s="440"/>
      <c r="AQ33" s="677"/>
    </row>
    <row r="34" spans="1:43" ht="24" hidden="1" x14ac:dyDescent="0.25">
      <c r="A34" s="670"/>
      <c r="B34" s="671" t="s">
        <v>477</v>
      </c>
      <c r="C34" s="661"/>
      <c r="D34" s="662"/>
      <c r="E34" s="662"/>
      <c r="F34" s="662"/>
      <c r="G34" s="662"/>
      <c r="H34" s="662"/>
      <c r="I34" s="662"/>
      <c r="J34" s="662"/>
      <c r="K34" s="662"/>
      <c r="L34" s="662"/>
      <c r="M34" s="662"/>
      <c r="N34" s="663"/>
      <c r="O34" s="662"/>
      <c r="P34" s="662"/>
      <c r="Q34" s="662"/>
      <c r="R34" s="662"/>
      <c r="S34" s="662"/>
      <c r="T34" s="662"/>
      <c r="U34" s="662"/>
      <c r="V34" s="662"/>
      <c r="W34" s="662"/>
      <c r="X34" s="662"/>
      <c r="Y34" s="663"/>
      <c r="Z34" s="672"/>
      <c r="AA34" s="673"/>
      <c r="AB34" s="673"/>
      <c r="AC34" s="674"/>
      <c r="AD34" s="675"/>
      <c r="AE34" s="676"/>
      <c r="AF34" s="676"/>
      <c r="AG34" s="440"/>
      <c r="AH34" s="440"/>
      <c r="AI34" s="440"/>
      <c r="AJ34" s="652"/>
      <c r="AK34" s="677"/>
      <c r="AL34" s="441"/>
      <c r="AM34" s="675"/>
      <c r="AN34" s="676"/>
      <c r="AO34" s="676"/>
      <c r="AP34" s="440"/>
      <c r="AQ34" s="677"/>
    </row>
    <row r="35" spans="1:43" ht="48" hidden="1" x14ac:dyDescent="0.25">
      <c r="A35" s="670"/>
      <c r="B35" s="671" t="s">
        <v>478</v>
      </c>
      <c r="C35" s="661"/>
      <c r="D35" s="662"/>
      <c r="E35" s="662"/>
      <c r="F35" s="662"/>
      <c r="G35" s="662"/>
      <c r="H35" s="662"/>
      <c r="I35" s="662"/>
      <c r="J35" s="662"/>
      <c r="K35" s="662"/>
      <c r="L35" s="662"/>
      <c r="M35" s="662"/>
      <c r="N35" s="663"/>
      <c r="O35" s="662"/>
      <c r="P35" s="662"/>
      <c r="Q35" s="662"/>
      <c r="R35" s="662"/>
      <c r="S35" s="662"/>
      <c r="T35" s="662"/>
      <c r="U35" s="662"/>
      <c r="V35" s="662"/>
      <c r="W35" s="662"/>
      <c r="X35" s="662"/>
      <c r="Y35" s="663"/>
      <c r="Z35" s="672"/>
      <c r="AA35" s="673"/>
      <c r="AB35" s="673"/>
      <c r="AC35" s="674"/>
      <c r="AD35" s="675"/>
      <c r="AE35" s="676"/>
      <c r="AF35" s="676"/>
      <c r="AG35" s="440"/>
      <c r="AH35" s="440"/>
      <c r="AI35" s="440"/>
      <c r="AJ35" s="652"/>
      <c r="AK35" s="677"/>
      <c r="AL35" s="441"/>
      <c r="AM35" s="675"/>
      <c r="AN35" s="676"/>
      <c r="AO35" s="676"/>
      <c r="AP35" s="440"/>
      <c r="AQ35" s="677"/>
    </row>
    <row r="36" spans="1:43" hidden="1" x14ac:dyDescent="0.25">
      <c r="A36" s="670"/>
      <c r="B36" s="671" t="s">
        <v>480</v>
      </c>
      <c r="C36" s="661"/>
      <c r="D36" s="662"/>
      <c r="E36" s="662"/>
      <c r="F36" s="662"/>
      <c r="G36" s="662"/>
      <c r="H36" s="662"/>
      <c r="I36" s="662"/>
      <c r="J36" s="662"/>
      <c r="K36" s="662"/>
      <c r="L36" s="662"/>
      <c r="M36" s="662"/>
      <c r="N36" s="663"/>
      <c r="O36" s="662"/>
      <c r="P36" s="662"/>
      <c r="Q36" s="662"/>
      <c r="R36" s="662"/>
      <c r="S36" s="662"/>
      <c r="T36" s="662"/>
      <c r="U36" s="662"/>
      <c r="V36" s="662"/>
      <c r="W36" s="662"/>
      <c r="X36" s="662"/>
      <c r="Y36" s="663"/>
      <c r="Z36" s="672"/>
      <c r="AA36" s="673"/>
      <c r="AB36" s="673"/>
      <c r="AC36" s="674"/>
      <c r="AD36" s="675"/>
      <c r="AE36" s="676"/>
      <c r="AF36" s="676"/>
      <c r="AG36" s="440"/>
      <c r="AH36" s="440"/>
      <c r="AI36" s="440"/>
      <c r="AJ36" s="652"/>
      <c r="AK36" s="677"/>
      <c r="AL36" s="441"/>
      <c r="AM36" s="675"/>
      <c r="AN36" s="676"/>
      <c r="AO36" s="676"/>
      <c r="AP36" s="440"/>
      <c r="AQ36" s="677"/>
    </row>
    <row r="37" spans="1:43" ht="36" hidden="1" x14ac:dyDescent="0.25">
      <c r="A37" s="670"/>
      <c r="B37" s="671" t="s">
        <v>479</v>
      </c>
      <c r="C37" s="661"/>
      <c r="D37" s="662"/>
      <c r="E37" s="662"/>
      <c r="F37" s="662"/>
      <c r="G37" s="662"/>
      <c r="H37" s="662"/>
      <c r="I37" s="662"/>
      <c r="J37" s="662"/>
      <c r="K37" s="662"/>
      <c r="L37" s="662"/>
      <c r="M37" s="662"/>
      <c r="N37" s="663"/>
      <c r="O37" s="662"/>
      <c r="P37" s="662"/>
      <c r="Q37" s="662"/>
      <c r="R37" s="662"/>
      <c r="S37" s="662"/>
      <c r="T37" s="662"/>
      <c r="U37" s="662"/>
      <c r="V37" s="662"/>
      <c r="W37" s="662"/>
      <c r="X37" s="662"/>
      <c r="Y37" s="663"/>
      <c r="Z37" s="672"/>
      <c r="AA37" s="673"/>
      <c r="AB37" s="673"/>
      <c r="AC37" s="674"/>
      <c r="AD37" s="675"/>
      <c r="AE37" s="676"/>
      <c r="AF37" s="676"/>
      <c r="AG37" s="440"/>
      <c r="AH37" s="440"/>
      <c r="AI37" s="440"/>
      <c r="AJ37" s="652"/>
      <c r="AK37" s="677"/>
      <c r="AL37" s="441"/>
      <c r="AM37" s="675"/>
      <c r="AN37" s="676"/>
      <c r="AO37" s="676"/>
      <c r="AP37" s="440"/>
      <c r="AQ37" s="677"/>
    </row>
    <row r="38" spans="1:43" hidden="1" x14ac:dyDescent="0.25">
      <c r="A38" s="670"/>
      <c r="B38" s="671" t="s">
        <v>405</v>
      </c>
      <c r="C38" s="661"/>
      <c r="D38" s="662"/>
      <c r="E38" s="662"/>
      <c r="F38" s="662"/>
      <c r="G38" s="662"/>
      <c r="H38" s="662"/>
      <c r="I38" s="662"/>
      <c r="J38" s="662"/>
      <c r="K38" s="662"/>
      <c r="L38" s="662"/>
      <c r="M38" s="662"/>
      <c r="N38" s="663"/>
      <c r="O38" s="662"/>
      <c r="P38" s="662"/>
      <c r="Q38" s="662"/>
      <c r="R38" s="662"/>
      <c r="S38" s="662"/>
      <c r="T38" s="662"/>
      <c r="U38" s="662"/>
      <c r="V38" s="662"/>
      <c r="W38" s="662"/>
      <c r="X38" s="662"/>
      <c r="Y38" s="663"/>
      <c r="Z38" s="672"/>
      <c r="AA38" s="673"/>
      <c r="AB38" s="673"/>
      <c r="AC38" s="674"/>
      <c r="AD38" s="675"/>
      <c r="AE38" s="676"/>
      <c r="AF38" s="676"/>
      <c r="AG38" s="440"/>
      <c r="AH38" s="440"/>
      <c r="AI38" s="440"/>
      <c r="AJ38" s="652"/>
      <c r="AK38" s="677"/>
      <c r="AL38" s="441"/>
      <c r="AM38" s="675"/>
      <c r="AN38" s="676"/>
      <c r="AO38" s="676"/>
      <c r="AP38" s="440"/>
      <c r="AQ38" s="677"/>
    </row>
    <row r="39" spans="1:43" hidden="1" x14ac:dyDescent="0.25">
      <c r="A39" s="670"/>
      <c r="B39" s="671" t="s">
        <v>432</v>
      </c>
      <c r="C39" s="661"/>
      <c r="D39" s="662"/>
      <c r="E39" s="662"/>
      <c r="F39" s="662"/>
      <c r="G39" s="662"/>
      <c r="H39" s="662"/>
      <c r="I39" s="662"/>
      <c r="J39" s="662"/>
      <c r="K39" s="662"/>
      <c r="L39" s="662"/>
      <c r="M39" s="662"/>
      <c r="N39" s="663"/>
      <c r="O39" s="662"/>
      <c r="P39" s="662"/>
      <c r="Q39" s="662"/>
      <c r="R39" s="662"/>
      <c r="S39" s="662"/>
      <c r="T39" s="662"/>
      <c r="U39" s="662"/>
      <c r="V39" s="662"/>
      <c r="W39" s="662"/>
      <c r="X39" s="662"/>
      <c r="Y39" s="663"/>
      <c r="Z39" s="672"/>
      <c r="AA39" s="673"/>
      <c r="AB39" s="673"/>
      <c r="AC39" s="674"/>
      <c r="AD39" s="675"/>
      <c r="AE39" s="676"/>
      <c r="AF39" s="676"/>
      <c r="AG39" s="440"/>
      <c r="AH39" s="440"/>
      <c r="AI39" s="440"/>
      <c r="AJ39" s="652"/>
      <c r="AK39" s="677"/>
      <c r="AL39" s="441"/>
      <c r="AM39" s="675"/>
      <c r="AN39" s="676"/>
      <c r="AO39" s="676"/>
      <c r="AP39" s="440"/>
      <c r="AQ39" s="677"/>
    </row>
    <row r="40" spans="1:43" hidden="1" x14ac:dyDescent="0.25">
      <c r="A40" s="670"/>
      <c r="B40" s="671" t="s">
        <v>406</v>
      </c>
      <c r="C40" s="661"/>
      <c r="D40" s="662"/>
      <c r="E40" s="662"/>
      <c r="F40" s="662"/>
      <c r="G40" s="662"/>
      <c r="H40" s="662"/>
      <c r="I40" s="662"/>
      <c r="J40" s="662"/>
      <c r="K40" s="662"/>
      <c r="L40" s="662"/>
      <c r="M40" s="662"/>
      <c r="N40" s="663"/>
      <c r="O40" s="662"/>
      <c r="P40" s="662"/>
      <c r="Q40" s="662"/>
      <c r="R40" s="662"/>
      <c r="S40" s="662"/>
      <c r="T40" s="662"/>
      <c r="U40" s="662"/>
      <c r="V40" s="662"/>
      <c r="W40" s="662"/>
      <c r="X40" s="662"/>
      <c r="Y40" s="663"/>
      <c r="Z40" s="672"/>
      <c r="AA40" s="673"/>
      <c r="AB40" s="673"/>
      <c r="AC40" s="674"/>
      <c r="AD40" s="675"/>
      <c r="AE40" s="676"/>
      <c r="AF40" s="676"/>
      <c r="AG40" s="440"/>
      <c r="AH40" s="440"/>
      <c r="AI40" s="440"/>
      <c r="AJ40" s="652"/>
      <c r="AK40" s="677"/>
      <c r="AL40" s="441"/>
      <c r="AM40" s="675"/>
      <c r="AN40" s="676"/>
      <c r="AO40" s="676"/>
      <c r="AP40" s="440"/>
      <c r="AQ40" s="677"/>
    </row>
    <row r="41" spans="1:43" hidden="1" x14ac:dyDescent="0.25">
      <c r="A41" s="670"/>
      <c r="B41" s="671" t="s">
        <v>433</v>
      </c>
      <c r="C41" s="661"/>
      <c r="D41" s="662"/>
      <c r="E41" s="662"/>
      <c r="F41" s="662"/>
      <c r="G41" s="662"/>
      <c r="H41" s="662"/>
      <c r="I41" s="662"/>
      <c r="J41" s="662"/>
      <c r="K41" s="662"/>
      <c r="L41" s="662"/>
      <c r="M41" s="662"/>
      <c r="N41" s="663"/>
      <c r="O41" s="662"/>
      <c r="P41" s="662"/>
      <c r="Q41" s="662"/>
      <c r="R41" s="662"/>
      <c r="S41" s="662"/>
      <c r="T41" s="662"/>
      <c r="U41" s="662"/>
      <c r="V41" s="662"/>
      <c r="W41" s="662"/>
      <c r="X41" s="662"/>
      <c r="Y41" s="663"/>
      <c r="Z41" s="672"/>
      <c r="AA41" s="673"/>
      <c r="AB41" s="673"/>
      <c r="AC41" s="674"/>
      <c r="AD41" s="675"/>
      <c r="AE41" s="676"/>
      <c r="AF41" s="676"/>
      <c r="AG41" s="440"/>
      <c r="AH41" s="440"/>
      <c r="AI41" s="440"/>
      <c r="AJ41" s="652"/>
      <c r="AK41" s="677"/>
      <c r="AL41" s="441"/>
      <c r="AM41" s="675"/>
      <c r="AN41" s="676"/>
      <c r="AO41" s="676"/>
      <c r="AP41" s="440"/>
      <c r="AQ41" s="677"/>
    </row>
    <row r="42" spans="1:43" hidden="1" x14ac:dyDescent="0.25">
      <c r="A42" s="670"/>
      <c r="B42" s="671" t="s">
        <v>406</v>
      </c>
      <c r="C42" s="661"/>
      <c r="D42" s="662"/>
      <c r="E42" s="662"/>
      <c r="F42" s="662"/>
      <c r="G42" s="662"/>
      <c r="H42" s="662"/>
      <c r="I42" s="662"/>
      <c r="J42" s="662"/>
      <c r="K42" s="662"/>
      <c r="L42" s="662"/>
      <c r="M42" s="662"/>
      <c r="N42" s="663"/>
      <c r="O42" s="662"/>
      <c r="P42" s="662"/>
      <c r="Q42" s="662"/>
      <c r="R42" s="662"/>
      <c r="S42" s="662"/>
      <c r="T42" s="662"/>
      <c r="U42" s="662"/>
      <c r="V42" s="662"/>
      <c r="W42" s="662"/>
      <c r="X42" s="662"/>
      <c r="Y42" s="663"/>
      <c r="Z42" s="672"/>
      <c r="AA42" s="673"/>
      <c r="AB42" s="673"/>
      <c r="AC42" s="674"/>
      <c r="AD42" s="675"/>
      <c r="AE42" s="676"/>
      <c r="AF42" s="676"/>
      <c r="AG42" s="440"/>
      <c r="AH42" s="440"/>
      <c r="AI42" s="440"/>
      <c r="AJ42" s="652"/>
      <c r="AK42" s="677"/>
      <c r="AL42" s="441"/>
      <c r="AM42" s="675"/>
      <c r="AN42" s="676"/>
      <c r="AO42" s="676"/>
      <c r="AP42" s="440"/>
      <c r="AQ42" s="677"/>
    </row>
    <row r="43" spans="1:43" hidden="1" x14ac:dyDescent="0.25">
      <c r="A43" s="670"/>
      <c r="B43" s="671" t="s">
        <v>434</v>
      </c>
      <c r="C43" s="661"/>
      <c r="D43" s="662"/>
      <c r="E43" s="662"/>
      <c r="F43" s="662"/>
      <c r="G43" s="662"/>
      <c r="H43" s="662"/>
      <c r="I43" s="662"/>
      <c r="J43" s="662"/>
      <c r="K43" s="662"/>
      <c r="L43" s="662"/>
      <c r="M43" s="662"/>
      <c r="N43" s="663"/>
      <c r="O43" s="662"/>
      <c r="P43" s="662"/>
      <c r="Q43" s="662"/>
      <c r="R43" s="662"/>
      <c r="S43" s="662"/>
      <c r="T43" s="662"/>
      <c r="U43" s="662"/>
      <c r="V43" s="662"/>
      <c r="W43" s="662"/>
      <c r="X43" s="662"/>
      <c r="Y43" s="663"/>
      <c r="Z43" s="672"/>
      <c r="AA43" s="673"/>
      <c r="AB43" s="673"/>
      <c r="AC43" s="674"/>
      <c r="AD43" s="675"/>
      <c r="AE43" s="676"/>
      <c r="AF43" s="676"/>
      <c r="AG43" s="440"/>
      <c r="AH43" s="440"/>
      <c r="AI43" s="440"/>
      <c r="AJ43" s="652"/>
      <c r="AK43" s="677"/>
      <c r="AL43" s="441"/>
      <c r="AM43" s="675"/>
      <c r="AN43" s="676"/>
      <c r="AO43" s="676"/>
      <c r="AP43" s="440"/>
      <c r="AQ43" s="677"/>
    </row>
    <row r="44" spans="1:43" hidden="1" x14ac:dyDescent="0.25">
      <c r="A44" s="670"/>
      <c r="B44" s="671" t="s">
        <v>406</v>
      </c>
      <c r="C44" s="661"/>
      <c r="D44" s="662"/>
      <c r="E44" s="662"/>
      <c r="F44" s="662"/>
      <c r="G44" s="662"/>
      <c r="H44" s="662"/>
      <c r="I44" s="662"/>
      <c r="J44" s="662"/>
      <c r="K44" s="662"/>
      <c r="L44" s="662"/>
      <c r="M44" s="662"/>
      <c r="N44" s="663"/>
      <c r="O44" s="662"/>
      <c r="P44" s="662"/>
      <c r="Q44" s="662"/>
      <c r="R44" s="662"/>
      <c r="S44" s="662"/>
      <c r="T44" s="662"/>
      <c r="U44" s="662"/>
      <c r="V44" s="662"/>
      <c r="W44" s="662"/>
      <c r="X44" s="662"/>
      <c r="Y44" s="663"/>
      <c r="Z44" s="672"/>
      <c r="AA44" s="673"/>
      <c r="AB44" s="673"/>
      <c r="AC44" s="674"/>
      <c r="AD44" s="675"/>
      <c r="AE44" s="676"/>
      <c r="AF44" s="676"/>
      <c r="AG44" s="440"/>
      <c r="AH44" s="440"/>
      <c r="AI44" s="440"/>
      <c r="AJ44" s="652"/>
      <c r="AK44" s="677"/>
      <c r="AL44" s="441"/>
      <c r="AM44" s="675"/>
      <c r="AN44" s="676"/>
      <c r="AO44" s="676"/>
      <c r="AP44" s="440"/>
      <c r="AQ44" s="677"/>
    </row>
    <row r="45" spans="1:43" hidden="1" x14ac:dyDescent="0.25">
      <c r="A45" s="670"/>
      <c r="B45" s="671" t="s">
        <v>407</v>
      </c>
      <c r="C45" s="661"/>
      <c r="D45" s="662"/>
      <c r="E45" s="662"/>
      <c r="F45" s="662"/>
      <c r="G45" s="662"/>
      <c r="H45" s="662"/>
      <c r="I45" s="662"/>
      <c r="J45" s="662"/>
      <c r="K45" s="662"/>
      <c r="L45" s="662"/>
      <c r="M45" s="662"/>
      <c r="N45" s="663"/>
      <c r="O45" s="662"/>
      <c r="P45" s="662"/>
      <c r="Q45" s="662"/>
      <c r="R45" s="662"/>
      <c r="S45" s="662"/>
      <c r="T45" s="662"/>
      <c r="U45" s="662"/>
      <c r="V45" s="662"/>
      <c r="W45" s="662"/>
      <c r="X45" s="662"/>
      <c r="Y45" s="663"/>
      <c r="Z45" s="672"/>
      <c r="AA45" s="673"/>
      <c r="AB45" s="673"/>
      <c r="AC45" s="674"/>
      <c r="AD45" s="675"/>
      <c r="AE45" s="676"/>
      <c r="AF45" s="676"/>
      <c r="AG45" s="440"/>
      <c r="AH45" s="440"/>
      <c r="AI45" s="440"/>
      <c r="AJ45" s="652"/>
      <c r="AK45" s="677"/>
      <c r="AL45" s="441"/>
      <c r="AM45" s="675"/>
      <c r="AN45" s="676"/>
      <c r="AO45" s="676"/>
      <c r="AP45" s="440"/>
      <c r="AQ45" s="677"/>
    </row>
    <row r="46" spans="1:43" hidden="1" x14ac:dyDescent="0.25">
      <c r="A46" s="670"/>
      <c r="B46" s="671" t="s">
        <v>408</v>
      </c>
      <c r="C46" s="661"/>
      <c r="D46" s="662"/>
      <c r="E46" s="662"/>
      <c r="F46" s="662"/>
      <c r="G46" s="662"/>
      <c r="H46" s="662"/>
      <c r="I46" s="662"/>
      <c r="J46" s="662"/>
      <c r="K46" s="662"/>
      <c r="L46" s="662"/>
      <c r="M46" s="662"/>
      <c r="N46" s="663"/>
      <c r="O46" s="662"/>
      <c r="P46" s="662"/>
      <c r="Q46" s="662"/>
      <c r="R46" s="662"/>
      <c r="S46" s="662"/>
      <c r="T46" s="662"/>
      <c r="U46" s="662"/>
      <c r="V46" s="662"/>
      <c r="W46" s="662"/>
      <c r="X46" s="662"/>
      <c r="Y46" s="663"/>
      <c r="Z46" s="672"/>
      <c r="AA46" s="673"/>
      <c r="AB46" s="673"/>
      <c r="AC46" s="674"/>
      <c r="AD46" s="675"/>
      <c r="AE46" s="676"/>
      <c r="AF46" s="676"/>
      <c r="AG46" s="440"/>
      <c r="AH46" s="440"/>
      <c r="AI46" s="440"/>
      <c r="AJ46" s="652"/>
      <c r="AK46" s="677"/>
      <c r="AL46" s="441"/>
      <c r="AM46" s="675"/>
      <c r="AN46" s="676"/>
      <c r="AO46" s="676"/>
      <c r="AP46" s="440"/>
      <c r="AQ46" s="677"/>
    </row>
    <row r="47" spans="1:43" hidden="1" x14ac:dyDescent="0.25">
      <c r="A47" s="670"/>
      <c r="B47" s="671" t="s">
        <v>406</v>
      </c>
      <c r="C47" s="661"/>
      <c r="D47" s="662"/>
      <c r="E47" s="662"/>
      <c r="F47" s="662"/>
      <c r="G47" s="662"/>
      <c r="H47" s="662"/>
      <c r="I47" s="662"/>
      <c r="J47" s="662"/>
      <c r="K47" s="662"/>
      <c r="L47" s="662"/>
      <c r="M47" s="662"/>
      <c r="N47" s="663"/>
      <c r="O47" s="662"/>
      <c r="P47" s="662"/>
      <c r="Q47" s="662"/>
      <c r="R47" s="662"/>
      <c r="S47" s="662"/>
      <c r="T47" s="662"/>
      <c r="U47" s="662"/>
      <c r="V47" s="662"/>
      <c r="W47" s="662"/>
      <c r="X47" s="662"/>
      <c r="Y47" s="663"/>
      <c r="Z47" s="672"/>
      <c r="AA47" s="673"/>
      <c r="AB47" s="673"/>
      <c r="AC47" s="674"/>
      <c r="AD47" s="675"/>
      <c r="AE47" s="676"/>
      <c r="AF47" s="676"/>
      <c r="AG47" s="440"/>
      <c r="AH47" s="440"/>
      <c r="AI47" s="440"/>
      <c r="AJ47" s="652"/>
      <c r="AK47" s="677"/>
      <c r="AL47" s="441"/>
      <c r="AM47" s="675"/>
      <c r="AN47" s="676"/>
      <c r="AO47" s="676"/>
      <c r="AP47" s="440"/>
      <c r="AQ47" s="677"/>
    </row>
    <row r="48" spans="1:43" hidden="1" x14ac:dyDescent="0.25">
      <c r="A48" s="670"/>
      <c r="B48" s="671" t="s">
        <v>409</v>
      </c>
      <c r="C48" s="661"/>
      <c r="D48" s="662"/>
      <c r="E48" s="662"/>
      <c r="F48" s="662"/>
      <c r="G48" s="662"/>
      <c r="H48" s="662"/>
      <c r="I48" s="662"/>
      <c r="J48" s="662"/>
      <c r="K48" s="662"/>
      <c r="L48" s="662"/>
      <c r="M48" s="662"/>
      <c r="N48" s="663"/>
      <c r="O48" s="662"/>
      <c r="P48" s="662"/>
      <c r="Q48" s="662"/>
      <c r="R48" s="662"/>
      <c r="S48" s="662"/>
      <c r="T48" s="662"/>
      <c r="U48" s="662"/>
      <c r="V48" s="662"/>
      <c r="W48" s="662"/>
      <c r="X48" s="662"/>
      <c r="Y48" s="663"/>
      <c r="Z48" s="672"/>
      <c r="AA48" s="673"/>
      <c r="AB48" s="673"/>
      <c r="AC48" s="674"/>
      <c r="AD48" s="675"/>
      <c r="AE48" s="676"/>
      <c r="AF48" s="676"/>
      <c r="AG48" s="440"/>
      <c r="AH48" s="440"/>
      <c r="AI48" s="440"/>
      <c r="AJ48" s="652"/>
      <c r="AK48" s="677"/>
      <c r="AL48" s="441"/>
      <c r="AM48" s="675"/>
      <c r="AN48" s="676"/>
      <c r="AO48" s="676"/>
      <c r="AP48" s="440"/>
      <c r="AQ48" s="677"/>
    </row>
    <row r="49" spans="1:43" hidden="1" x14ac:dyDescent="0.25">
      <c r="A49" s="670"/>
      <c r="B49" s="671" t="s">
        <v>406</v>
      </c>
      <c r="C49" s="661"/>
      <c r="D49" s="662"/>
      <c r="E49" s="662"/>
      <c r="F49" s="662"/>
      <c r="G49" s="662"/>
      <c r="H49" s="662"/>
      <c r="I49" s="662"/>
      <c r="J49" s="662"/>
      <c r="K49" s="662"/>
      <c r="L49" s="662"/>
      <c r="M49" s="662"/>
      <c r="N49" s="663"/>
      <c r="O49" s="662"/>
      <c r="P49" s="662"/>
      <c r="Q49" s="662"/>
      <c r="R49" s="662"/>
      <c r="S49" s="662"/>
      <c r="T49" s="662"/>
      <c r="U49" s="662"/>
      <c r="V49" s="662"/>
      <c r="W49" s="662"/>
      <c r="X49" s="662"/>
      <c r="Y49" s="663"/>
      <c r="Z49" s="672"/>
      <c r="AA49" s="673"/>
      <c r="AB49" s="673"/>
      <c r="AC49" s="674"/>
      <c r="AD49" s="675"/>
      <c r="AE49" s="676"/>
      <c r="AF49" s="676"/>
      <c r="AG49" s="440"/>
      <c r="AH49" s="440"/>
      <c r="AI49" s="440"/>
      <c r="AJ49" s="652"/>
      <c r="AK49" s="677"/>
      <c r="AL49" s="441"/>
      <c r="AM49" s="675"/>
      <c r="AN49" s="676"/>
      <c r="AO49" s="676"/>
      <c r="AP49" s="440"/>
      <c r="AQ49" s="677"/>
    </row>
    <row r="50" spans="1:43" hidden="1" x14ac:dyDescent="0.25">
      <c r="A50" s="670"/>
      <c r="B50" s="671" t="s">
        <v>435</v>
      </c>
      <c r="C50" s="661"/>
      <c r="D50" s="662"/>
      <c r="E50" s="662"/>
      <c r="F50" s="662"/>
      <c r="G50" s="662"/>
      <c r="H50" s="662"/>
      <c r="I50" s="662"/>
      <c r="J50" s="662"/>
      <c r="K50" s="662"/>
      <c r="L50" s="662"/>
      <c r="M50" s="662"/>
      <c r="N50" s="663"/>
      <c r="O50" s="662"/>
      <c r="P50" s="662"/>
      <c r="Q50" s="662"/>
      <c r="R50" s="662"/>
      <c r="S50" s="662"/>
      <c r="T50" s="662"/>
      <c r="U50" s="662"/>
      <c r="V50" s="662"/>
      <c r="W50" s="662"/>
      <c r="X50" s="662"/>
      <c r="Y50" s="663"/>
      <c r="Z50" s="672"/>
      <c r="AA50" s="673"/>
      <c r="AB50" s="673"/>
      <c r="AC50" s="674"/>
      <c r="AD50" s="675"/>
      <c r="AE50" s="676"/>
      <c r="AF50" s="676"/>
      <c r="AG50" s="440"/>
      <c r="AH50" s="440"/>
      <c r="AI50" s="440"/>
      <c r="AJ50" s="652"/>
      <c r="AK50" s="677"/>
      <c r="AL50" s="441"/>
      <c r="AM50" s="675"/>
      <c r="AN50" s="676"/>
      <c r="AO50" s="676"/>
      <c r="AP50" s="440"/>
      <c r="AQ50" s="677"/>
    </row>
    <row r="51" spans="1:43" hidden="1" x14ac:dyDescent="0.25">
      <c r="A51" s="670"/>
      <c r="B51" s="671" t="s">
        <v>406</v>
      </c>
      <c r="C51" s="661"/>
      <c r="D51" s="662"/>
      <c r="E51" s="662"/>
      <c r="F51" s="662"/>
      <c r="G51" s="662"/>
      <c r="H51" s="662"/>
      <c r="I51" s="662"/>
      <c r="J51" s="662"/>
      <c r="K51" s="662"/>
      <c r="L51" s="662"/>
      <c r="M51" s="662"/>
      <c r="N51" s="663"/>
      <c r="O51" s="662"/>
      <c r="P51" s="662"/>
      <c r="Q51" s="662"/>
      <c r="R51" s="662"/>
      <c r="S51" s="662"/>
      <c r="T51" s="662"/>
      <c r="U51" s="662"/>
      <c r="V51" s="662"/>
      <c r="W51" s="662"/>
      <c r="X51" s="662"/>
      <c r="Y51" s="663"/>
      <c r="Z51" s="672"/>
      <c r="AA51" s="673"/>
      <c r="AB51" s="673"/>
      <c r="AC51" s="674"/>
      <c r="AD51" s="675"/>
      <c r="AE51" s="676"/>
      <c r="AF51" s="676"/>
      <c r="AG51" s="440"/>
      <c r="AH51" s="440"/>
      <c r="AI51" s="440"/>
      <c r="AJ51" s="652"/>
      <c r="AK51" s="677"/>
      <c r="AL51" s="441"/>
      <c r="AM51" s="675"/>
      <c r="AN51" s="676"/>
      <c r="AO51" s="676"/>
      <c r="AP51" s="440"/>
      <c r="AQ51" s="677"/>
    </row>
    <row r="52" spans="1:43" hidden="1" x14ac:dyDescent="0.25">
      <c r="A52" s="670"/>
      <c r="B52" s="671" t="s">
        <v>410</v>
      </c>
      <c r="C52" s="661"/>
      <c r="D52" s="662"/>
      <c r="E52" s="662"/>
      <c r="F52" s="662"/>
      <c r="G52" s="662"/>
      <c r="H52" s="662"/>
      <c r="I52" s="662"/>
      <c r="J52" s="662"/>
      <c r="K52" s="662"/>
      <c r="L52" s="662"/>
      <c r="M52" s="662"/>
      <c r="N52" s="663"/>
      <c r="O52" s="662"/>
      <c r="P52" s="662"/>
      <c r="Q52" s="662"/>
      <c r="R52" s="662"/>
      <c r="S52" s="662"/>
      <c r="T52" s="662"/>
      <c r="U52" s="662"/>
      <c r="V52" s="662"/>
      <c r="W52" s="662"/>
      <c r="X52" s="662"/>
      <c r="Y52" s="663"/>
      <c r="Z52" s="672"/>
      <c r="AA52" s="673"/>
      <c r="AB52" s="673"/>
      <c r="AC52" s="674"/>
      <c r="AD52" s="675"/>
      <c r="AE52" s="676"/>
      <c r="AF52" s="676"/>
      <c r="AG52" s="440"/>
      <c r="AH52" s="440"/>
      <c r="AI52" s="440"/>
      <c r="AJ52" s="652"/>
      <c r="AK52" s="677"/>
      <c r="AL52" s="441"/>
      <c r="AM52" s="675"/>
      <c r="AN52" s="676"/>
      <c r="AO52" s="676"/>
      <c r="AP52" s="440"/>
      <c r="AQ52" s="677"/>
    </row>
    <row r="53" spans="1:43" hidden="1" x14ac:dyDescent="0.25">
      <c r="A53" s="670"/>
      <c r="B53" s="671" t="s">
        <v>411</v>
      </c>
      <c r="C53" s="661"/>
      <c r="D53" s="662"/>
      <c r="E53" s="662"/>
      <c r="F53" s="662"/>
      <c r="G53" s="662"/>
      <c r="H53" s="662"/>
      <c r="I53" s="662"/>
      <c r="J53" s="662"/>
      <c r="K53" s="662"/>
      <c r="L53" s="662"/>
      <c r="M53" s="662"/>
      <c r="N53" s="663"/>
      <c r="O53" s="662"/>
      <c r="P53" s="662"/>
      <c r="Q53" s="662"/>
      <c r="R53" s="662"/>
      <c r="S53" s="662"/>
      <c r="T53" s="662"/>
      <c r="U53" s="662"/>
      <c r="V53" s="662"/>
      <c r="W53" s="662"/>
      <c r="X53" s="662"/>
      <c r="Y53" s="663"/>
      <c r="Z53" s="672"/>
      <c r="AA53" s="673"/>
      <c r="AB53" s="673"/>
      <c r="AC53" s="674"/>
      <c r="AD53" s="675"/>
      <c r="AE53" s="676"/>
      <c r="AF53" s="676"/>
      <c r="AG53" s="440"/>
      <c r="AH53" s="440"/>
      <c r="AI53" s="440"/>
      <c r="AJ53" s="652"/>
      <c r="AK53" s="677"/>
      <c r="AL53" s="441"/>
      <c r="AM53" s="675"/>
      <c r="AN53" s="676"/>
      <c r="AO53" s="676"/>
      <c r="AP53" s="440"/>
      <c r="AQ53" s="677"/>
    </row>
    <row r="54" spans="1:43" hidden="1" x14ac:dyDescent="0.25">
      <c r="A54" s="670"/>
      <c r="B54" s="671" t="s">
        <v>412</v>
      </c>
      <c r="C54" s="661"/>
      <c r="D54" s="662"/>
      <c r="E54" s="662"/>
      <c r="F54" s="662"/>
      <c r="G54" s="662"/>
      <c r="H54" s="662"/>
      <c r="I54" s="662"/>
      <c r="J54" s="662"/>
      <c r="K54" s="662"/>
      <c r="L54" s="662"/>
      <c r="M54" s="662"/>
      <c r="N54" s="663"/>
      <c r="O54" s="662"/>
      <c r="P54" s="662"/>
      <c r="Q54" s="662"/>
      <c r="R54" s="662"/>
      <c r="S54" s="662"/>
      <c r="T54" s="662"/>
      <c r="U54" s="662"/>
      <c r="V54" s="662"/>
      <c r="W54" s="662"/>
      <c r="X54" s="662"/>
      <c r="Y54" s="663"/>
      <c r="Z54" s="672"/>
      <c r="AA54" s="673"/>
      <c r="AB54" s="673"/>
      <c r="AC54" s="674"/>
      <c r="AD54" s="675"/>
      <c r="AE54" s="676"/>
      <c r="AF54" s="676"/>
      <c r="AG54" s="440"/>
      <c r="AH54" s="440"/>
      <c r="AI54" s="440"/>
      <c r="AJ54" s="652"/>
      <c r="AK54" s="677"/>
      <c r="AL54" s="441"/>
      <c r="AM54" s="675"/>
      <c r="AN54" s="676"/>
      <c r="AO54" s="676"/>
      <c r="AP54" s="440"/>
      <c r="AQ54" s="677"/>
    </row>
    <row r="55" spans="1:43" hidden="1" x14ac:dyDescent="0.25">
      <c r="A55" s="670"/>
      <c r="B55" s="671" t="s">
        <v>413</v>
      </c>
      <c r="C55" s="661"/>
      <c r="D55" s="662"/>
      <c r="E55" s="662"/>
      <c r="F55" s="662"/>
      <c r="G55" s="662"/>
      <c r="H55" s="662"/>
      <c r="I55" s="662"/>
      <c r="J55" s="662"/>
      <c r="K55" s="662"/>
      <c r="L55" s="662"/>
      <c r="M55" s="662"/>
      <c r="N55" s="663"/>
      <c r="O55" s="662"/>
      <c r="P55" s="662"/>
      <c r="Q55" s="662"/>
      <c r="R55" s="662"/>
      <c r="S55" s="662"/>
      <c r="T55" s="662"/>
      <c r="U55" s="662"/>
      <c r="V55" s="662"/>
      <c r="W55" s="662"/>
      <c r="X55" s="662"/>
      <c r="Y55" s="663"/>
      <c r="Z55" s="672"/>
      <c r="AA55" s="673"/>
      <c r="AB55" s="673"/>
      <c r="AC55" s="674"/>
      <c r="AD55" s="675"/>
      <c r="AE55" s="676"/>
      <c r="AF55" s="676"/>
      <c r="AG55" s="440"/>
      <c r="AH55" s="440"/>
      <c r="AI55" s="440"/>
      <c r="AJ55" s="652"/>
      <c r="AK55" s="677"/>
      <c r="AL55" s="441"/>
      <c r="AM55" s="675"/>
      <c r="AN55" s="676"/>
      <c r="AO55" s="676"/>
      <c r="AP55" s="440"/>
      <c r="AQ55" s="677"/>
    </row>
    <row r="56" spans="1:43" ht="24" hidden="1" x14ac:dyDescent="0.25">
      <c r="A56" s="670"/>
      <c r="B56" s="671" t="s">
        <v>414</v>
      </c>
      <c r="C56" s="661"/>
      <c r="D56" s="662"/>
      <c r="E56" s="662"/>
      <c r="F56" s="662"/>
      <c r="G56" s="662"/>
      <c r="H56" s="662"/>
      <c r="I56" s="662"/>
      <c r="J56" s="662"/>
      <c r="K56" s="662"/>
      <c r="L56" s="662"/>
      <c r="M56" s="662"/>
      <c r="N56" s="663"/>
      <c r="O56" s="662"/>
      <c r="P56" s="662"/>
      <c r="Q56" s="662"/>
      <c r="R56" s="662"/>
      <c r="S56" s="662"/>
      <c r="T56" s="662"/>
      <c r="U56" s="662"/>
      <c r="V56" s="662"/>
      <c r="W56" s="662"/>
      <c r="X56" s="662"/>
      <c r="Y56" s="663"/>
      <c r="Z56" s="672"/>
      <c r="AA56" s="673"/>
      <c r="AB56" s="673"/>
      <c r="AC56" s="674"/>
      <c r="AD56" s="675"/>
      <c r="AE56" s="676"/>
      <c r="AF56" s="676"/>
      <c r="AG56" s="440"/>
      <c r="AH56" s="440"/>
      <c r="AI56" s="440"/>
      <c r="AJ56" s="652"/>
      <c r="AK56" s="677"/>
      <c r="AL56" s="441"/>
      <c r="AM56" s="675"/>
      <c r="AN56" s="676"/>
      <c r="AO56" s="676"/>
      <c r="AP56" s="440"/>
      <c r="AQ56" s="677"/>
    </row>
    <row r="57" spans="1:43" hidden="1" x14ac:dyDescent="0.25">
      <c r="A57" s="670"/>
      <c r="B57" s="671" t="s">
        <v>415</v>
      </c>
      <c r="C57" s="661"/>
      <c r="D57" s="662"/>
      <c r="E57" s="662"/>
      <c r="F57" s="662"/>
      <c r="G57" s="662"/>
      <c r="H57" s="662"/>
      <c r="I57" s="662"/>
      <c r="J57" s="662"/>
      <c r="K57" s="662"/>
      <c r="L57" s="662"/>
      <c r="M57" s="662"/>
      <c r="N57" s="663"/>
      <c r="O57" s="662"/>
      <c r="P57" s="662"/>
      <c r="Q57" s="662"/>
      <c r="R57" s="662"/>
      <c r="S57" s="662"/>
      <c r="T57" s="662"/>
      <c r="U57" s="662"/>
      <c r="V57" s="662"/>
      <c r="W57" s="662"/>
      <c r="X57" s="662"/>
      <c r="Y57" s="663"/>
      <c r="Z57" s="672"/>
      <c r="AA57" s="673"/>
      <c r="AB57" s="673"/>
      <c r="AC57" s="674"/>
      <c r="AD57" s="675"/>
      <c r="AE57" s="676"/>
      <c r="AF57" s="676"/>
      <c r="AG57" s="440"/>
      <c r="AH57" s="440"/>
      <c r="AI57" s="440"/>
      <c r="AJ57" s="652"/>
      <c r="AK57" s="677"/>
      <c r="AL57" s="441"/>
      <c r="AM57" s="675"/>
      <c r="AN57" s="676"/>
      <c r="AO57" s="676"/>
      <c r="AP57" s="440"/>
      <c r="AQ57" s="677"/>
    </row>
    <row r="58" spans="1:43" ht="24" hidden="1" x14ac:dyDescent="0.25">
      <c r="A58" s="670"/>
      <c r="B58" s="671" t="s">
        <v>416</v>
      </c>
      <c r="C58" s="661"/>
      <c r="D58" s="662"/>
      <c r="E58" s="662"/>
      <c r="F58" s="662"/>
      <c r="G58" s="662"/>
      <c r="H58" s="662"/>
      <c r="I58" s="662"/>
      <c r="J58" s="662"/>
      <c r="K58" s="662"/>
      <c r="L58" s="662"/>
      <c r="M58" s="662"/>
      <c r="N58" s="663"/>
      <c r="O58" s="662"/>
      <c r="P58" s="662"/>
      <c r="Q58" s="662"/>
      <c r="R58" s="662"/>
      <c r="S58" s="662"/>
      <c r="T58" s="662"/>
      <c r="U58" s="662"/>
      <c r="V58" s="662"/>
      <c r="W58" s="662"/>
      <c r="X58" s="662"/>
      <c r="Y58" s="663"/>
      <c r="Z58" s="672"/>
      <c r="AA58" s="673"/>
      <c r="AB58" s="673"/>
      <c r="AC58" s="674"/>
      <c r="AD58" s="675"/>
      <c r="AE58" s="676"/>
      <c r="AF58" s="676"/>
      <c r="AG58" s="440"/>
      <c r="AH58" s="440"/>
      <c r="AI58" s="440"/>
      <c r="AJ58" s="652"/>
      <c r="AK58" s="677"/>
      <c r="AL58" s="441"/>
      <c r="AM58" s="675"/>
      <c r="AN58" s="676"/>
      <c r="AO58" s="676"/>
      <c r="AP58" s="440"/>
      <c r="AQ58" s="677"/>
    </row>
    <row r="59" spans="1:43" ht="24" hidden="1" x14ac:dyDescent="0.25">
      <c r="A59" s="670"/>
      <c r="B59" s="671" t="s">
        <v>436</v>
      </c>
      <c r="C59" s="661"/>
      <c r="D59" s="662"/>
      <c r="E59" s="662"/>
      <c r="F59" s="662"/>
      <c r="G59" s="662"/>
      <c r="H59" s="662"/>
      <c r="I59" s="662"/>
      <c r="J59" s="662"/>
      <c r="K59" s="662"/>
      <c r="L59" s="662"/>
      <c r="M59" s="662"/>
      <c r="N59" s="663"/>
      <c r="O59" s="662"/>
      <c r="P59" s="662"/>
      <c r="Q59" s="662"/>
      <c r="R59" s="662"/>
      <c r="S59" s="662"/>
      <c r="T59" s="662"/>
      <c r="U59" s="662"/>
      <c r="V59" s="662"/>
      <c r="W59" s="662"/>
      <c r="X59" s="662"/>
      <c r="Y59" s="663"/>
      <c r="Z59" s="672"/>
      <c r="AA59" s="673"/>
      <c r="AB59" s="673"/>
      <c r="AC59" s="674"/>
      <c r="AD59" s="675"/>
      <c r="AE59" s="676"/>
      <c r="AF59" s="676"/>
      <c r="AG59" s="440"/>
      <c r="AH59" s="440"/>
      <c r="AI59" s="440"/>
      <c r="AJ59" s="652"/>
      <c r="AK59" s="677"/>
      <c r="AL59" s="441"/>
      <c r="AM59" s="675"/>
      <c r="AN59" s="676"/>
      <c r="AO59" s="676"/>
      <c r="AP59" s="440"/>
      <c r="AQ59" s="677"/>
    </row>
    <row r="60" spans="1:43" hidden="1" x14ac:dyDescent="0.25">
      <c r="A60" s="670"/>
      <c r="B60" s="671" t="s">
        <v>419</v>
      </c>
      <c r="C60" s="661"/>
      <c r="D60" s="662"/>
      <c r="E60" s="662"/>
      <c r="F60" s="662"/>
      <c r="G60" s="662"/>
      <c r="H60" s="662"/>
      <c r="I60" s="662"/>
      <c r="J60" s="662"/>
      <c r="K60" s="662"/>
      <c r="L60" s="662"/>
      <c r="M60" s="662"/>
      <c r="N60" s="663"/>
      <c r="O60" s="662"/>
      <c r="P60" s="662"/>
      <c r="Q60" s="662"/>
      <c r="R60" s="662"/>
      <c r="S60" s="662"/>
      <c r="T60" s="662"/>
      <c r="U60" s="662"/>
      <c r="V60" s="662"/>
      <c r="W60" s="662"/>
      <c r="X60" s="662"/>
      <c r="Y60" s="663"/>
      <c r="Z60" s="672"/>
      <c r="AA60" s="673"/>
      <c r="AB60" s="673"/>
      <c r="AC60" s="674"/>
      <c r="AD60" s="675"/>
      <c r="AE60" s="676"/>
      <c r="AF60" s="676"/>
      <c r="AG60" s="440"/>
      <c r="AH60" s="440"/>
      <c r="AI60" s="440"/>
      <c r="AJ60" s="652"/>
      <c r="AK60" s="677"/>
      <c r="AL60" s="441"/>
      <c r="AM60" s="675"/>
      <c r="AN60" s="676"/>
      <c r="AO60" s="676"/>
      <c r="AP60" s="440"/>
      <c r="AQ60" s="677"/>
    </row>
    <row r="61" spans="1:43" hidden="1" x14ac:dyDescent="0.25">
      <c r="A61" s="670"/>
      <c r="B61" s="671" t="s">
        <v>420</v>
      </c>
      <c r="C61" s="661"/>
      <c r="D61" s="662"/>
      <c r="E61" s="662"/>
      <c r="F61" s="662"/>
      <c r="G61" s="662"/>
      <c r="H61" s="662"/>
      <c r="I61" s="662"/>
      <c r="J61" s="662"/>
      <c r="K61" s="662"/>
      <c r="L61" s="662"/>
      <c r="M61" s="662"/>
      <c r="N61" s="663"/>
      <c r="O61" s="662"/>
      <c r="P61" s="662"/>
      <c r="Q61" s="662"/>
      <c r="R61" s="662"/>
      <c r="S61" s="662"/>
      <c r="T61" s="662"/>
      <c r="U61" s="662"/>
      <c r="V61" s="662"/>
      <c r="W61" s="662"/>
      <c r="X61" s="662"/>
      <c r="Y61" s="663"/>
      <c r="Z61" s="672"/>
      <c r="AA61" s="673"/>
      <c r="AB61" s="673"/>
      <c r="AC61" s="674"/>
      <c r="AD61" s="675"/>
      <c r="AE61" s="676"/>
      <c r="AF61" s="676"/>
      <c r="AG61" s="440"/>
      <c r="AH61" s="440"/>
      <c r="AI61" s="440"/>
      <c r="AJ61" s="652"/>
      <c r="AK61" s="677"/>
      <c r="AL61" s="441"/>
      <c r="AM61" s="675"/>
      <c r="AN61" s="676"/>
      <c r="AO61" s="676"/>
      <c r="AP61" s="440"/>
      <c r="AQ61" s="677"/>
    </row>
    <row r="62" spans="1:43" hidden="1" x14ac:dyDescent="0.25">
      <c r="A62" s="670"/>
      <c r="B62" s="671" t="s">
        <v>421</v>
      </c>
      <c r="C62" s="661"/>
      <c r="D62" s="662"/>
      <c r="E62" s="662"/>
      <c r="F62" s="662"/>
      <c r="G62" s="662"/>
      <c r="H62" s="662"/>
      <c r="I62" s="662"/>
      <c r="J62" s="662"/>
      <c r="K62" s="662"/>
      <c r="L62" s="662"/>
      <c r="M62" s="662"/>
      <c r="N62" s="663"/>
      <c r="O62" s="662"/>
      <c r="P62" s="662"/>
      <c r="Q62" s="662"/>
      <c r="R62" s="662"/>
      <c r="S62" s="662"/>
      <c r="T62" s="662"/>
      <c r="U62" s="662"/>
      <c r="V62" s="662"/>
      <c r="W62" s="662"/>
      <c r="X62" s="662"/>
      <c r="Y62" s="663"/>
      <c r="Z62" s="672"/>
      <c r="AA62" s="673"/>
      <c r="AB62" s="673"/>
      <c r="AC62" s="674"/>
      <c r="AD62" s="675"/>
      <c r="AE62" s="676"/>
      <c r="AF62" s="676"/>
      <c r="AG62" s="440"/>
      <c r="AH62" s="440"/>
      <c r="AI62" s="440"/>
      <c r="AJ62" s="652"/>
      <c r="AK62" s="677"/>
      <c r="AL62" s="441"/>
      <c r="AM62" s="675"/>
      <c r="AN62" s="676"/>
      <c r="AO62" s="676"/>
      <c r="AP62" s="440"/>
      <c r="AQ62" s="677"/>
    </row>
    <row r="63" spans="1:43" hidden="1" x14ac:dyDescent="0.25">
      <c r="A63" s="670"/>
      <c r="B63" s="671" t="s">
        <v>422</v>
      </c>
      <c r="C63" s="661"/>
      <c r="D63" s="662"/>
      <c r="E63" s="662"/>
      <c r="F63" s="662"/>
      <c r="G63" s="662"/>
      <c r="H63" s="662"/>
      <c r="I63" s="662"/>
      <c r="J63" s="662"/>
      <c r="K63" s="662"/>
      <c r="L63" s="662"/>
      <c r="M63" s="662"/>
      <c r="N63" s="663"/>
      <c r="O63" s="662"/>
      <c r="P63" s="662"/>
      <c r="Q63" s="662"/>
      <c r="R63" s="662"/>
      <c r="S63" s="662"/>
      <c r="T63" s="662"/>
      <c r="U63" s="662"/>
      <c r="V63" s="662"/>
      <c r="W63" s="662"/>
      <c r="X63" s="662"/>
      <c r="Y63" s="663"/>
      <c r="Z63" s="672"/>
      <c r="AA63" s="673"/>
      <c r="AB63" s="673"/>
      <c r="AC63" s="674"/>
      <c r="AD63" s="675"/>
      <c r="AE63" s="676"/>
      <c r="AF63" s="676"/>
      <c r="AG63" s="440"/>
      <c r="AH63" s="440"/>
      <c r="AI63" s="440"/>
      <c r="AJ63" s="652"/>
      <c r="AK63" s="677"/>
      <c r="AL63" s="441"/>
      <c r="AM63" s="675"/>
      <c r="AN63" s="676"/>
      <c r="AO63" s="676"/>
      <c r="AP63" s="440"/>
      <c r="AQ63" s="677"/>
    </row>
    <row r="64" spans="1:43" hidden="1" x14ac:dyDescent="0.25">
      <c r="A64" s="670"/>
      <c r="B64" s="671" t="s">
        <v>423</v>
      </c>
      <c r="C64" s="661"/>
      <c r="D64" s="662"/>
      <c r="E64" s="662"/>
      <c r="F64" s="662"/>
      <c r="G64" s="662"/>
      <c r="H64" s="662"/>
      <c r="I64" s="662"/>
      <c r="J64" s="662"/>
      <c r="K64" s="662"/>
      <c r="L64" s="662"/>
      <c r="M64" s="662"/>
      <c r="N64" s="663"/>
      <c r="O64" s="662"/>
      <c r="P64" s="662"/>
      <c r="Q64" s="662"/>
      <c r="R64" s="662"/>
      <c r="S64" s="662"/>
      <c r="T64" s="662"/>
      <c r="U64" s="662"/>
      <c r="V64" s="662"/>
      <c r="W64" s="662"/>
      <c r="X64" s="662"/>
      <c r="Y64" s="663"/>
      <c r="Z64" s="672"/>
      <c r="AA64" s="673"/>
      <c r="AB64" s="673"/>
      <c r="AC64" s="674"/>
      <c r="AD64" s="675"/>
      <c r="AE64" s="676"/>
      <c r="AF64" s="676"/>
      <c r="AG64" s="440"/>
      <c r="AH64" s="440"/>
      <c r="AI64" s="440"/>
      <c r="AJ64" s="652"/>
      <c r="AK64" s="677"/>
      <c r="AL64" s="441"/>
      <c r="AM64" s="675"/>
      <c r="AN64" s="676"/>
      <c r="AO64" s="676"/>
      <c r="AP64" s="440"/>
      <c r="AQ64" s="677"/>
    </row>
    <row r="65" spans="1:43" hidden="1" x14ac:dyDescent="0.25">
      <c r="A65" s="670"/>
      <c r="B65" s="671" t="s">
        <v>424</v>
      </c>
      <c r="C65" s="661"/>
      <c r="D65" s="662"/>
      <c r="E65" s="662"/>
      <c r="F65" s="662"/>
      <c r="G65" s="662"/>
      <c r="H65" s="662"/>
      <c r="I65" s="662"/>
      <c r="J65" s="662"/>
      <c r="K65" s="662"/>
      <c r="L65" s="662"/>
      <c r="M65" s="662"/>
      <c r="N65" s="663"/>
      <c r="O65" s="662"/>
      <c r="P65" s="662"/>
      <c r="Q65" s="662"/>
      <c r="R65" s="662"/>
      <c r="S65" s="662"/>
      <c r="T65" s="662"/>
      <c r="U65" s="662"/>
      <c r="V65" s="662"/>
      <c r="W65" s="662"/>
      <c r="X65" s="662"/>
      <c r="Y65" s="663"/>
      <c r="Z65" s="672"/>
      <c r="AA65" s="673"/>
      <c r="AB65" s="673"/>
      <c r="AC65" s="674"/>
      <c r="AD65" s="675"/>
      <c r="AE65" s="676"/>
      <c r="AF65" s="676"/>
      <c r="AG65" s="440"/>
      <c r="AH65" s="440"/>
      <c r="AI65" s="440"/>
      <c r="AJ65" s="652"/>
      <c r="AK65" s="677"/>
      <c r="AL65" s="441"/>
      <c r="AM65" s="675"/>
      <c r="AN65" s="676"/>
      <c r="AO65" s="676"/>
      <c r="AP65" s="440"/>
      <c r="AQ65" s="677"/>
    </row>
    <row r="66" spans="1:43" hidden="1" x14ac:dyDescent="0.25">
      <c r="A66" s="670"/>
      <c r="B66" s="671" t="s">
        <v>481</v>
      </c>
      <c r="C66" s="661"/>
      <c r="D66" s="662"/>
      <c r="E66" s="662"/>
      <c r="F66" s="662"/>
      <c r="G66" s="662"/>
      <c r="H66" s="662"/>
      <c r="I66" s="662"/>
      <c r="J66" s="662"/>
      <c r="K66" s="662"/>
      <c r="L66" s="662"/>
      <c r="M66" s="662"/>
      <c r="N66" s="663"/>
      <c r="O66" s="662"/>
      <c r="P66" s="662"/>
      <c r="Q66" s="662"/>
      <c r="R66" s="662"/>
      <c r="S66" s="662"/>
      <c r="T66" s="662"/>
      <c r="U66" s="662"/>
      <c r="V66" s="662"/>
      <c r="W66" s="662"/>
      <c r="X66" s="662"/>
      <c r="Y66" s="663"/>
      <c r="Z66" s="672"/>
      <c r="AA66" s="673"/>
      <c r="AB66" s="673"/>
      <c r="AC66" s="674"/>
      <c r="AD66" s="675"/>
      <c r="AE66" s="676"/>
      <c r="AF66" s="676"/>
      <c r="AG66" s="440"/>
      <c r="AH66" s="440"/>
      <c r="AI66" s="440"/>
      <c r="AJ66" s="652"/>
      <c r="AK66" s="677"/>
      <c r="AL66" s="441"/>
      <c r="AM66" s="675"/>
      <c r="AN66" s="676"/>
      <c r="AO66" s="676"/>
      <c r="AP66" s="440"/>
      <c r="AQ66" s="677"/>
    </row>
    <row r="67" spans="1:43" hidden="1" x14ac:dyDescent="0.25">
      <c r="A67" s="670"/>
      <c r="B67" s="671" t="s">
        <v>486</v>
      </c>
      <c r="C67" s="661"/>
      <c r="D67" s="662"/>
      <c r="E67" s="662"/>
      <c r="F67" s="662"/>
      <c r="G67" s="662"/>
      <c r="H67" s="662"/>
      <c r="I67" s="662"/>
      <c r="J67" s="662"/>
      <c r="K67" s="662"/>
      <c r="L67" s="662"/>
      <c r="M67" s="662"/>
      <c r="N67" s="663"/>
      <c r="O67" s="662"/>
      <c r="P67" s="662"/>
      <c r="Q67" s="662"/>
      <c r="R67" s="662"/>
      <c r="S67" s="662"/>
      <c r="T67" s="662"/>
      <c r="U67" s="662"/>
      <c r="V67" s="662"/>
      <c r="W67" s="662"/>
      <c r="X67" s="662"/>
      <c r="Y67" s="663"/>
      <c r="Z67" s="672"/>
      <c r="AA67" s="673"/>
      <c r="AB67" s="673"/>
      <c r="AC67" s="674"/>
      <c r="AD67" s="675"/>
      <c r="AE67" s="676"/>
      <c r="AF67" s="676"/>
      <c r="AG67" s="440"/>
      <c r="AH67" s="440"/>
      <c r="AI67" s="440"/>
      <c r="AJ67" s="652"/>
      <c r="AK67" s="677"/>
      <c r="AL67" s="441"/>
      <c r="AM67" s="675"/>
      <c r="AN67" s="676"/>
      <c r="AO67" s="676"/>
      <c r="AP67" s="440"/>
      <c r="AQ67" s="677"/>
    </row>
    <row r="68" spans="1:43" ht="24" hidden="1" x14ac:dyDescent="0.25">
      <c r="A68" s="670"/>
      <c r="B68" s="671" t="s">
        <v>482</v>
      </c>
      <c r="C68" s="661"/>
      <c r="D68" s="662"/>
      <c r="E68" s="662"/>
      <c r="F68" s="662"/>
      <c r="G68" s="662"/>
      <c r="H68" s="662"/>
      <c r="I68" s="662"/>
      <c r="J68" s="662"/>
      <c r="K68" s="662"/>
      <c r="L68" s="662"/>
      <c r="M68" s="662"/>
      <c r="N68" s="663"/>
      <c r="O68" s="662"/>
      <c r="P68" s="662"/>
      <c r="Q68" s="662"/>
      <c r="R68" s="662"/>
      <c r="S68" s="662"/>
      <c r="T68" s="662"/>
      <c r="U68" s="662"/>
      <c r="V68" s="662"/>
      <c r="W68" s="662"/>
      <c r="X68" s="662"/>
      <c r="Y68" s="663"/>
      <c r="Z68" s="672"/>
      <c r="AA68" s="673"/>
      <c r="AB68" s="673"/>
      <c r="AC68" s="674"/>
      <c r="AD68" s="675"/>
      <c r="AE68" s="676"/>
      <c r="AF68" s="676"/>
      <c r="AG68" s="440"/>
      <c r="AH68" s="440"/>
      <c r="AI68" s="440"/>
      <c r="AJ68" s="652"/>
      <c r="AK68" s="677"/>
      <c r="AL68" s="441"/>
      <c r="AM68" s="675"/>
      <c r="AN68" s="676"/>
      <c r="AO68" s="676"/>
      <c r="AP68" s="440"/>
      <c r="AQ68" s="677"/>
    </row>
    <row r="69" spans="1:43" hidden="1" x14ac:dyDescent="0.25">
      <c r="A69" s="670"/>
      <c r="B69" s="671" t="s">
        <v>487</v>
      </c>
      <c r="C69" s="661"/>
      <c r="D69" s="662"/>
      <c r="E69" s="662"/>
      <c r="F69" s="662"/>
      <c r="G69" s="662"/>
      <c r="H69" s="662"/>
      <c r="I69" s="662"/>
      <c r="J69" s="662"/>
      <c r="K69" s="662"/>
      <c r="L69" s="662"/>
      <c r="M69" s="662"/>
      <c r="N69" s="663"/>
      <c r="O69" s="662"/>
      <c r="P69" s="662"/>
      <c r="Q69" s="662"/>
      <c r="R69" s="662"/>
      <c r="S69" s="662"/>
      <c r="T69" s="662"/>
      <c r="U69" s="662"/>
      <c r="V69" s="662"/>
      <c r="W69" s="662"/>
      <c r="X69" s="662"/>
      <c r="Y69" s="663"/>
      <c r="Z69" s="672"/>
      <c r="AA69" s="673"/>
      <c r="AB69" s="673"/>
      <c r="AC69" s="674"/>
      <c r="AD69" s="675"/>
      <c r="AE69" s="676"/>
      <c r="AF69" s="676"/>
      <c r="AG69" s="440"/>
      <c r="AH69" s="440"/>
      <c r="AI69" s="440"/>
      <c r="AJ69" s="652"/>
      <c r="AK69" s="677"/>
      <c r="AL69" s="441"/>
      <c r="AM69" s="675"/>
      <c r="AN69" s="676"/>
      <c r="AO69" s="676"/>
      <c r="AP69" s="440"/>
      <c r="AQ69" s="677"/>
    </row>
    <row r="70" spans="1:43" hidden="1" x14ac:dyDescent="0.25">
      <c r="A70" s="670"/>
      <c r="B70" s="671" t="s">
        <v>483</v>
      </c>
      <c r="C70" s="661"/>
      <c r="D70" s="662"/>
      <c r="E70" s="662"/>
      <c r="F70" s="662"/>
      <c r="G70" s="662"/>
      <c r="H70" s="662"/>
      <c r="I70" s="662"/>
      <c r="J70" s="662"/>
      <c r="K70" s="662"/>
      <c r="L70" s="662"/>
      <c r="M70" s="662"/>
      <c r="N70" s="663"/>
      <c r="O70" s="662"/>
      <c r="P70" s="662"/>
      <c r="Q70" s="662"/>
      <c r="R70" s="662"/>
      <c r="S70" s="662"/>
      <c r="T70" s="662"/>
      <c r="U70" s="662"/>
      <c r="V70" s="662"/>
      <c r="W70" s="662"/>
      <c r="X70" s="662"/>
      <c r="Y70" s="663"/>
      <c r="Z70" s="672"/>
      <c r="AA70" s="673"/>
      <c r="AB70" s="673"/>
      <c r="AC70" s="674"/>
      <c r="AD70" s="675"/>
      <c r="AE70" s="676"/>
      <c r="AF70" s="676"/>
      <c r="AG70" s="440"/>
      <c r="AH70" s="440"/>
      <c r="AI70" s="440"/>
      <c r="AJ70" s="652"/>
      <c r="AK70" s="677"/>
      <c r="AL70" s="441"/>
      <c r="AM70" s="675"/>
      <c r="AN70" s="676"/>
      <c r="AO70" s="676"/>
      <c r="AP70" s="440"/>
      <c r="AQ70" s="677"/>
    </row>
    <row r="71" spans="1:43" ht="39.6" hidden="1" customHeight="1" x14ac:dyDescent="0.25">
      <c r="A71" s="670"/>
      <c r="B71" s="671" t="s">
        <v>484</v>
      </c>
      <c r="C71" s="661"/>
      <c r="D71" s="662"/>
      <c r="E71" s="662"/>
      <c r="F71" s="662"/>
      <c r="G71" s="662"/>
      <c r="H71" s="662"/>
      <c r="I71" s="662"/>
      <c r="J71" s="662"/>
      <c r="K71" s="662"/>
      <c r="L71" s="662"/>
      <c r="M71" s="662"/>
      <c r="N71" s="663"/>
      <c r="O71" s="662"/>
      <c r="P71" s="662"/>
      <c r="Q71" s="662"/>
      <c r="R71" s="662"/>
      <c r="S71" s="662"/>
      <c r="T71" s="662"/>
      <c r="U71" s="662"/>
      <c r="V71" s="662"/>
      <c r="W71" s="662"/>
      <c r="X71" s="662"/>
      <c r="Y71" s="663"/>
      <c r="Z71" s="672"/>
      <c r="AA71" s="673"/>
      <c r="AB71" s="673"/>
      <c r="AC71" s="674"/>
      <c r="AD71" s="675"/>
      <c r="AE71" s="676"/>
      <c r="AF71" s="676"/>
      <c r="AG71" s="440"/>
      <c r="AH71" s="440"/>
      <c r="AI71" s="440"/>
      <c r="AJ71" s="652"/>
      <c r="AK71" s="677"/>
      <c r="AL71" s="441"/>
      <c r="AM71" s="675"/>
      <c r="AN71" s="676"/>
      <c r="AO71" s="676"/>
      <c r="AP71" s="440"/>
      <c r="AQ71" s="677"/>
    </row>
    <row r="72" spans="1:43" ht="24" x14ac:dyDescent="0.25">
      <c r="A72" s="678"/>
      <c r="B72" s="679" t="s">
        <v>425</v>
      </c>
      <c r="C72" s="249"/>
      <c r="D72" s="250"/>
      <c r="E72" s="250"/>
      <c r="F72" s="250"/>
      <c r="G72" s="250"/>
      <c r="H72" s="250"/>
      <c r="I72" s="250"/>
      <c r="J72" s="250"/>
      <c r="K72" s="250"/>
      <c r="L72" s="250"/>
      <c r="M72" s="250"/>
      <c r="N72" s="251"/>
      <c r="O72" s="250"/>
      <c r="P72" s="250"/>
      <c r="Q72" s="250"/>
      <c r="R72" s="250"/>
      <c r="S72" s="250"/>
      <c r="T72" s="250"/>
      <c r="U72" s="250"/>
      <c r="V72" s="250"/>
      <c r="W72" s="250"/>
      <c r="X72" s="250"/>
      <c r="Y72" s="251"/>
      <c r="Z72" s="655"/>
      <c r="AA72" s="656"/>
      <c r="AB72" s="656"/>
      <c r="AC72" s="656"/>
      <c r="AD72" s="680"/>
      <c r="AE72" s="681"/>
      <c r="AF72" s="681"/>
      <c r="AG72" s="440"/>
      <c r="AH72" s="440"/>
      <c r="AI72" s="440"/>
      <c r="AJ72" s="652"/>
      <c r="AK72" s="658"/>
      <c r="AL72" s="441"/>
      <c r="AM72" s="680"/>
      <c r="AN72" s="681"/>
      <c r="AO72" s="681"/>
      <c r="AP72" s="440"/>
      <c r="AQ72" s="658"/>
    </row>
    <row r="73" spans="1:43" ht="15" customHeight="1" x14ac:dyDescent="0.25">
      <c r="A73" s="659" t="s">
        <v>691</v>
      </c>
      <c r="B73" s="660" t="s">
        <v>402</v>
      </c>
      <c r="C73" s="683"/>
      <c r="D73" s="684"/>
      <c r="E73" s="684"/>
      <c r="F73" s="684"/>
      <c r="G73" s="684"/>
      <c r="H73" s="684" t="s">
        <v>698</v>
      </c>
      <c r="I73" s="684" t="s">
        <v>698</v>
      </c>
      <c r="J73" s="684" t="s">
        <v>698</v>
      </c>
      <c r="K73" s="684" t="s">
        <v>698</v>
      </c>
      <c r="L73" s="684" t="s">
        <v>698</v>
      </c>
      <c r="M73" s="684" t="s">
        <v>698</v>
      </c>
      <c r="N73" s="685" t="s">
        <v>698</v>
      </c>
      <c r="O73" s="684" t="s">
        <v>698</v>
      </c>
      <c r="P73" s="684" t="s">
        <v>698</v>
      </c>
      <c r="Q73" s="684" t="s">
        <v>698</v>
      </c>
      <c r="R73" s="684"/>
      <c r="S73" s="684"/>
      <c r="T73" s="684"/>
      <c r="U73" s="684"/>
      <c r="V73" s="684"/>
      <c r="W73" s="684"/>
      <c r="X73" s="684"/>
      <c r="Y73" s="685"/>
      <c r="Z73" s="686"/>
      <c r="AA73" s="687"/>
      <c r="AB73" s="687"/>
      <c r="AC73" s="656"/>
      <c r="AD73" s="667">
        <v>385</v>
      </c>
      <c r="AE73" s="668">
        <v>448</v>
      </c>
      <c r="AF73" s="668">
        <v>880</v>
      </c>
      <c r="AG73" s="440">
        <f t="shared" si="0"/>
        <v>338800</v>
      </c>
      <c r="AH73" s="440">
        <f t="shared" si="1"/>
        <v>394240</v>
      </c>
      <c r="AI73" s="440">
        <f t="shared" si="2"/>
        <v>55440</v>
      </c>
      <c r="AJ73" s="652">
        <v>54978</v>
      </c>
      <c r="AK73" s="689"/>
      <c r="AL73" s="667"/>
      <c r="AM73" s="667"/>
      <c r="AN73" s="668"/>
      <c r="AO73" s="668"/>
      <c r="AP73" s="440">
        <f t="shared" si="3"/>
        <v>0</v>
      </c>
      <c r="AQ73" s="689"/>
    </row>
    <row r="74" spans="1:43" ht="48" x14ac:dyDescent="0.25">
      <c r="A74" s="670"/>
      <c r="B74" s="671" t="s">
        <v>485</v>
      </c>
      <c r="C74" s="661"/>
      <c r="D74" s="662"/>
      <c r="E74" s="662"/>
      <c r="F74" s="662"/>
      <c r="G74" s="662"/>
      <c r="H74" s="662"/>
      <c r="I74" s="662"/>
      <c r="J74" s="662"/>
      <c r="K74" s="662"/>
      <c r="L74" s="662"/>
      <c r="M74" s="662"/>
      <c r="N74" s="663"/>
      <c r="O74" s="662"/>
      <c r="P74" s="662"/>
      <c r="Q74" s="662"/>
      <c r="R74" s="662"/>
      <c r="S74" s="662"/>
      <c r="T74" s="662"/>
      <c r="U74" s="662"/>
      <c r="V74" s="662"/>
      <c r="W74" s="662"/>
      <c r="X74" s="662"/>
      <c r="Y74" s="663"/>
      <c r="Z74" s="672"/>
      <c r="AA74" s="673"/>
      <c r="AB74" s="673"/>
      <c r="AC74" s="656"/>
      <c r="AD74" s="675"/>
      <c r="AE74" s="676"/>
      <c r="AF74" s="676"/>
      <c r="AG74" s="440"/>
      <c r="AH74" s="440"/>
      <c r="AI74" s="440"/>
      <c r="AJ74" s="652"/>
      <c r="AK74" s="677"/>
      <c r="AL74" s="675"/>
      <c r="AM74" s="675"/>
      <c r="AN74" s="676"/>
      <c r="AO74" s="676"/>
      <c r="AP74" s="440"/>
      <c r="AQ74" s="677"/>
    </row>
    <row r="75" spans="1:43" ht="48" x14ac:dyDescent="0.25">
      <c r="A75" s="678"/>
      <c r="B75" s="679" t="s">
        <v>403</v>
      </c>
      <c r="C75" s="249"/>
      <c r="D75" s="250"/>
      <c r="E75" s="250"/>
      <c r="F75" s="250"/>
      <c r="G75" s="250"/>
      <c r="H75" s="250"/>
      <c r="I75" s="250"/>
      <c r="J75" s="250"/>
      <c r="K75" s="250"/>
      <c r="L75" s="250"/>
      <c r="M75" s="250"/>
      <c r="N75" s="251"/>
      <c r="O75" s="250"/>
      <c r="P75" s="250"/>
      <c r="Q75" s="250"/>
      <c r="R75" s="250"/>
      <c r="S75" s="250"/>
      <c r="T75" s="250"/>
      <c r="U75" s="250"/>
      <c r="V75" s="250"/>
      <c r="W75" s="250"/>
      <c r="X75" s="250"/>
      <c r="Y75" s="251"/>
      <c r="Z75" s="655"/>
      <c r="AA75" s="656"/>
      <c r="AB75" s="656"/>
      <c r="AC75" s="656"/>
      <c r="AD75" s="680"/>
      <c r="AE75" s="681"/>
      <c r="AF75" s="681"/>
      <c r="AG75" s="440"/>
      <c r="AH75" s="440"/>
      <c r="AI75" s="440"/>
      <c r="AJ75" s="652"/>
      <c r="AK75" s="658"/>
      <c r="AL75" s="680"/>
      <c r="AM75" s="680"/>
      <c r="AN75" s="681"/>
      <c r="AO75" s="681"/>
      <c r="AP75" s="440"/>
      <c r="AQ75" s="658"/>
    </row>
    <row r="76" spans="1:43" ht="15" customHeight="1" x14ac:dyDescent="0.25">
      <c r="A76" s="659" t="s">
        <v>692</v>
      </c>
      <c r="B76" s="660" t="s">
        <v>417</v>
      </c>
      <c r="C76" s="683"/>
      <c r="D76" s="684"/>
      <c r="E76" s="684"/>
      <c r="F76" s="684"/>
      <c r="G76" s="684" t="s">
        <v>698</v>
      </c>
      <c r="H76" s="684" t="s">
        <v>698</v>
      </c>
      <c r="I76" s="684" t="s">
        <v>698</v>
      </c>
      <c r="J76" s="684" t="s">
        <v>698</v>
      </c>
      <c r="K76" s="684" t="s">
        <v>698</v>
      </c>
      <c r="L76" s="684" t="s">
        <v>698</v>
      </c>
      <c r="M76" s="684" t="s">
        <v>698</v>
      </c>
      <c r="N76" s="685" t="s">
        <v>698</v>
      </c>
      <c r="O76" s="684" t="s">
        <v>698</v>
      </c>
      <c r="P76" s="684" t="s">
        <v>698</v>
      </c>
      <c r="Q76" s="684" t="s">
        <v>698</v>
      </c>
      <c r="R76" s="684" t="s">
        <v>698</v>
      </c>
      <c r="S76" s="684" t="s">
        <v>698</v>
      </c>
      <c r="T76" s="684" t="s">
        <v>698</v>
      </c>
      <c r="U76" s="684" t="s">
        <v>698</v>
      </c>
      <c r="V76" s="684" t="s">
        <v>698</v>
      </c>
      <c r="W76" s="684" t="s">
        <v>698</v>
      </c>
      <c r="X76" s="684" t="s">
        <v>698</v>
      </c>
      <c r="Y76" s="685"/>
      <c r="Z76" s="686"/>
      <c r="AA76" s="687"/>
      <c r="AB76" s="687"/>
      <c r="AC76" s="656"/>
      <c r="AD76" s="667">
        <v>312</v>
      </c>
      <c r="AE76" s="668">
        <v>405</v>
      </c>
      <c r="AF76" s="668">
        <v>880</v>
      </c>
      <c r="AG76" s="440">
        <f t="shared" si="0"/>
        <v>274560</v>
      </c>
      <c r="AH76" s="440">
        <f t="shared" si="1"/>
        <v>356400</v>
      </c>
      <c r="AI76" s="440">
        <f t="shared" si="2"/>
        <v>81840</v>
      </c>
      <c r="AJ76" s="652">
        <v>47322</v>
      </c>
      <c r="AK76" s="689"/>
      <c r="AL76" s="667"/>
      <c r="AM76" s="667"/>
      <c r="AN76" s="668"/>
      <c r="AO76" s="668"/>
      <c r="AP76" s="440">
        <f t="shared" si="3"/>
        <v>0</v>
      </c>
      <c r="AQ76" s="689"/>
    </row>
    <row r="77" spans="1:43" ht="36" x14ac:dyDescent="0.25">
      <c r="A77" s="670"/>
      <c r="B77" s="671" t="s">
        <v>418</v>
      </c>
      <c r="C77" s="661"/>
      <c r="D77" s="662"/>
      <c r="E77" s="662"/>
      <c r="F77" s="662"/>
      <c r="G77" s="662"/>
      <c r="H77" s="662"/>
      <c r="I77" s="662"/>
      <c r="J77" s="662"/>
      <c r="K77" s="662"/>
      <c r="L77" s="662"/>
      <c r="M77" s="662"/>
      <c r="N77" s="663"/>
      <c r="O77" s="662"/>
      <c r="P77" s="662"/>
      <c r="Q77" s="662"/>
      <c r="R77" s="662"/>
      <c r="S77" s="662"/>
      <c r="T77" s="662"/>
      <c r="U77" s="662"/>
      <c r="V77" s="662"/>
      <c r="W77" s="662"/>
      <c r="X77" s="662"/>
      <c r="Y77" s="663"/>
      <c r="Z77" s="672"/>
      <c r="AA77" s="673"/>
      <c r="AB77" s="673"/>
      <c r="AC77" s="656"/>
      <c r="AD77" s="675"/>
      <c r="AE77" s="676"/>
      <c r="AF77" s="676"/>
      <c r="AG77" s="440"/>
      <c r="AH77" s="440"/>
      <c r="AI77" s="440"/>
      <c r="AJ77" s="652"/>
      <c r="AK77" s="677"/>
      <c r="AL77" s="675"/>
      <c r="AM77" s="675"/>
      <c r="AN77" s="676"/>
      <c r="AO77" s="676"/>
      <c r="AP77" s="440"/>
      <c r="AQ77" s="677"/>
    </row>
    <row r="78" spans="1:43" x14ac:dyDescent="0.25">
      <c r="A78" s="670"/>
      <c r="B78" s="671" t="s">
        <v>466</v>
      </c>
      <c r="C78" s="661"/>
      <c r="D78" s="662"/>
      <c r="E78" s="662"/>
      <c r="F78" s="662"/>
      <c r="G78" s="662"/>
      <c r="H78" s="662"/>
      <c r="I78" s="662"/>
      <c r="J78" s="662"/>
      <c r="K78" s="662"/>
      <c r="L78" s="662"/>
      <c r="M78" s="662"/>
      <c r="N78" s="663"/>
      <c r="O78" s="662"/>
      <c r="P78" s="662"/>
      <c r="Q78" s="662"/>
      <c r="R78" s="662"/>
      <c r="S78" s="662"/>
      <c r="T78" s="662"/>
      <c r="U78" s="662"/>
      <c r="V78" s="662"/>
      <c r="W78" s="662"/>
      <c r="X78" s="662"/>
      <c r="Y78" s="663"/>
      <c r="Z78" s="672"/>
      <c r="AA78" s="673"/>
      <c r="AB78" s="673"/>
      <c r="AC78" s="656"/>
      <c r="AD78" s="675"/>
      <c r="AE78" s="676"/>
      <c r="AF78" s="676"/>
      <c r="AG78" s="440"/>
      <c r="AH78" s="440"/>
      <c r="AI78" s="440"/>
      <c r="AJ78" s="652"/>
      <c r="AK78" s="677"/>
      <c r="AL78" s="675"/>
      <c r="AM78" s="675"/>
      <c r="AN78" s="676"/>
      <c r="AO78" s="676"/>
      <c r="AP78" s="440"/>
      <c r="AQ78" s="677"/>
    </row>
    <row r="79" spans="1:43" x14ac:dyDescent="0.25">
      <c r="A79" s="670"/>
      <c r="B79" s="671" t="s">
        <v>467</v>
      </c>
      <c r="C79" s="661"/>
      <c r="D79" s="662"/>
      <c r="E79" s="662"/>
      <c r="F79" s="662"/>
      <c r="G79" s="662"/>
      <c r="H79" s="662"/>
      <c r="I79" s="662"/>
      <c r="J79" s="662"/>
      <c r="K79" s="662"/>
      <c r="L79" s="662"/>
      <c r="M79" s="662"/>
      <c r="N79" s="663"/>
      <c r="O79" s="662"/>
      <c r="P79" s="662"/>
      <c r="Q79" s="662"/>
      <c r="R79" s="662"/>
      <c r="S79" s="662"/>
      <c r="T79" s="662"/>
      <c r="U79" s="662"/>
      <c r="V79" s="662"/>
      <c r="W79" s="662"/>
      <c r="X79" s="662"/>
      <c r="Y79" s="663"/>
      <c r="Z79" s="672"/>
      <c r="AA79" s="673"/>
      <c r="AB79" s="673"/>
      <c r="AC79" s="656"/>
      <c r="AD79" s="675"/>
      <c r="AE79" s="676"/>
      <c r="AF79" s="676"/>
      <c r="AG79" s="440"/>
      <c r="AH79" s="440"/>
      <c r="AI79" s="440"/>
      <c r="AJ79" s="652"/>
      <c r="AK79" s="677"/>
      <c r="AL79" s="675"/>
      <c r="AM79" s="675"/>
      <c r="AN79" s="676"/>
      <c r="AO79" s="676"/>
      <c r="AP79" s="440"/>
      <c r="AQ79" s="677"/>
    </row>
    <row r="80" spans="1:43" x14ac:dyDescent="0.25">
      <c r="A80" s="670"/>
      <c r="B80" s="671" t="s">
        <v>468</v>
      </c>
      <c r="C80" s="661"/>
      <c r="D80" s="662"/>
      <c r="E80" s="662"/>
      <c r="F80" s="662"/>
      <c r="G80" s="662"/>
      <c r="H80" s="662"/>
      <c r="I80" s="662"/>
      <c r="J80" s="662"/>
      <c r="K80" s="662"/>
      <c r="L80" s="662"/>
      <c r="M80" s="662"/>
      <c r="N80" s="663"/>
      <c r="O80" s="662"/>
      <c r="P80" s="662"/>
      <c r="Q80" s="662"/>
      <c r="R80" s="662"/>
      <c r="S80" s="662"/>
      <c r="T80" s="662"/>
      <c r="U80" s="662"/>
      <c r="V80" s="662"/>
      <c r="W80" s="662"/>
      <c r="X80" s="662"/>
      <c r="Y80" s="663"/>
      <c r="Z80" s="672"/>
      <c r="AA80" s="673"/>
      <c r="AB80" s="673"/>
      <c r="AC80" s="656"/>
      <c r="AD80" s="675"/>
      <c r="AE80" s="676"/>
      <c r="AF80" s="676"/>
      <c r="AG80" s="440"/>
      <c r="AH80" s="440"/>
      <c r="AI80" s="440"/>
      <c r="AJ80" s="652"/>
      <c r="AK80" s="677"/>
      <c r="AL80" s="675"/>
      <c r="AM80" s="675"/>
      <c r="AN80" s="676"/>
      <c r="AO80" s="676"/>
      <c r="AP80" s="440"/>
      <c r="AQ80" s="677"/>
    </row>
    <row r="81" spans="1:43" x14ac:dyDescent="0.25">
      <c r="A81" s="670"/>
      <c r="B81" s="671" t="s">
        <v>469</v>
      </c>
      <c r="C81" s="661"/>
      <c r="D81" s="662"/>
      <c r="E81" s="662"/>
      <c r="F81" s="662"/>
      <c r="G81" s="662"/>
      <c r="H81" s="662"/>
      <c r="I81" s="662"/>
      <c r="J81" s="662"/>
      <c r="K81" s="662"/>
      <c r="L81" s="662"/>
      <c r="M81" s="662"/>
      <c r="N81" s="663"/>
      <c r="O81" s="662"/>
      <c r="P81" s="662"/>
      <c r="Q81" s="662"/>
      <c r="R81" s="662"/>
      <c r="S81" s="662"/>
      <c r="T81" s="662"/>
      <c r="U81" s="662"/>
      <c r="V81" s="662"/>
      <c r="W81" s="662"/>
      <c r="X81" s="662"/>
      <c r="Y81" s="663"/>
      <c r="Z81" s="672"/>
      <c r="AA81" s="673"/>
      <c r="AB81" s="673"/>
      <c r="AC81" s="656"/>
      <c r="AD81" s="675"/>
      <c r="AE81" s="676"/>
      <c r="AF81" s="676"/>
      <c r="AG81" s="440"/>
      <c r="AH81" s="440"/>
      <c r="AI81" s="440"/>
      <c r="AJ81" s="652"/>
      <c r="AK81" s="677"/>
      <c r="AL81" s="675"/>
      <c r="AM81" s="675"/>
      <c r="AN81" s="676"/>
      <c r="AO81" s="676"/>
      <c r="AP81" s="440"/>
      <c r="AQ81" s="677"/>
    </row>
    <row r="82" spans="1:43" x14ac:dyDescent="0.25">
      <c r="A82" s="670"/>
      <c r="B82" s="671" t="s">
        <v>470</v>
      </c>
      <c r="C82" s="661"/>
      <c r="D82" s="662"/>
      <c r="E82" s="662"/>
      <c r="F82" s="662"/>
      <c r="G82" s="662"/>
      <c r="H82" s="662"/>
      <c r="I82" s="662"/>
      <c r="J82" s="662"/>
      <c r="K82" s="662"/>
      <c r="L82" s="662"/>
      <c r="M82" s="662"/>
      <c r="N82" s="663"/>
      <c r="O82" s="662"/>
      <c r="P82" s="662"/>
      <c r="Q82" s="662"/>
      <c r="R82" s="662"/>
      <c r="S82" s="662"/>
      <c r="T82" s="662"/>
      <c r="U82" s="662"/>
      <c r="V82" s="662"/>
      <c r="W82" s="662"/>
      <c r="X82" s="662"/>
      <c r="Y82" s="663"/>
      <c r="Z82" s="672"/>
      <c r="AA82" s="673"/>
      <c r="AB82" s="673"/>
      <c r="AC82" s="656"/>
      <c r="AD82" s="675"/>
      <c r="AE82" s="676"/>
      <c r="AF82" s="676"/>
      <c r="AG82" s="440"/>
      <c r="AH82" s="440"/>
      <c r="AI82" s="440"/>
      <c r="AJ82" s="652"/>
      <c r="AK82" s="677"/>
      <c r="AL82" s="675"/>
      <c r="AM82" s="675"/>
      <c r="AN82" s="676"/>
      <c r="AO82" s="676"/>
      <c r="AP82" s="440"/>
      <c r="AQ82" s="677"/>
    </row>
    <row r="83" spans="1:43" x14ac:dyDescent="0.25">
      <c r="A83" s="670"/>
      <c r="B83" s="671" t="s">
        <v>471</v>
      </c>
      <c r="C83" s="661"/>
      <c r="D83" s="662"/>
      <c r="E83" s="662"/>
      <c r="F83" s="662"/>
      <c r="G83" s="662"/>
      <c r="H83" s="662"/>
      <c r="I83" s="662"/>
      <c r="J83" s="662"/>
      <c r="K83" s="662"/>
      <c r="L83" s="662"/>
      <c r="M83" s="662"/>
      <c r="N83" s="663"/>
      <c r="O83" s="662"/>
      <c r="P83" s="662"/>
      <c r="Q83" s="662"/>
      <c r="R83" s="662"/>
      <c r="S83" s="662"/>
      <c r="T83" s="662"/>
      <c r="U83" s="662"/>
      <c r="V83" s="662"/>
      <c r="W83" s="662"/>
      <c r="X83" s="662"/>
      <c r="Y83" s="663"/>
      <c r="Z83" s="672"/>
      <c r="AA83" s="673"/>
      <c r="AB83" s="673"/>
      <c r="AC83" s="656"/>
      <c r="AD83" s="675"/>
      <c r="AE83" s="676"/>
      <c r="AF83" s="676"/>
      <c r="AG83" s="440"/>
      <c r="AH83" s="440"/>
      <c r="AI83" s="440"/>
      <c r="AJ83" s="652"/>
      <c r="AK83" s="677"/>
      <c r="AL83" s="675"/>
      <c r="AM83" s="675"/>
      <c r="AN83" s="676"/>
      <c r="AO83" s="676"/>
      <c r="AP83" s="440"/>
      <c r="AQ83" s="677"/>
    </row>
    <row r="84" spans="1:43" x14ac:dyDescent="0.25">
      <c r="A84" s="670"/>
      <c r="B84" s="671" t="s">
        <v>472</v>
      </c>
      <c r="C84" s="661"/>
      <c r="D84" s="662"/>
      <c r="E84" s="662"/>
      <c r="F84" s="662"/>
      <c r="G84" s="662"/>
      <c r="H84" s="662"/>
      <c r="I84" s="662"/>
      <c r="J84" s="662"/>
      <c r="K84" s="662"/>
      <c r="L84" s="662"/>
      <c r="M84" s="662"/>
      <c r="N84" s="663"/>
      <c r="O84" s="662"/>
      <c r="P84" s="662"/>
      <c r="Q84" s="662"/>
      <c r="R84" s="662"/>
      <c r="S84" s="662"/>
      <c r="T84" s="662"/>
      <c r="U84" s="662"/>
      <c r="V84" s="662"/>
      <c r="W84" s="662"/>
      <c r="X84" s="662"/>
      <c r="Y84" s="663"/>
      <c r="Z84" s="672"/>
      <c r="AA84" s="673"/>
      <c r="AB84" s="673"/>
      <c r="AC84" s="656"/>
      <c r="AD84" s="675"/>
      <c r="AE84" s="676"/>
      <c r="AF84" s="676"/>
      <c r="AG84" s="440"/>
      <c r="AH84" s="440"/>
      <c r="AI84" s="440"/>
      <c r="AJ84" s="652"/>
      <c r="AK84" s="677"/>
      <c r="AL84" s="675"/>
      <c r="AM84" s="675"/>
      <c r="AN84" s="676"/>
      <c r="AO84" s="676"/>
      <c r="AP84" s="440"/>
      <c r="AQ84" s="677"/>
    </row>
    <row r="85" spans="1:43" x14ac:dyDescent="0.25">
      <c r="A85" s="670"/>
      <c r="B85" s="671" t="s">
        <v>473</v>
      </c>
      <c r="C85" s="661"/>
      <c r="D85" s="662"/>
      <c r="E85" s="662"/>
      <c r="F85" s="662"/>
      <c r="G85" s="662"/>
      <c r="H85" s="662"/>
      <c r="I85" s="662"/>
      <c r="J85" s="662"/>
      <c r="K85" s="662"/>
      <c r="L85" s="662"/>
      <c r="M85" s="662"/>
      <c r="N85" s="663"/>
      <c r="O85" s="662"/>
      <c r="P85" s="662"/>
      <c r="Q85" s="662"/>
      <c r="R85" s="662"/>
      <c r="S85" s="662"/>
      <c r="T85" s="662"/>
      <c r="U85" s="662"/>
      <c r="V85" s="662"/>
      <c r="W85" s="662"/>
      <c r="X85" s="662"/>
      <c r="Y85" s="663"/>
      <c r="Z85" s="672"/>
      <c r="AA85" s="673"/>
      <c r="AB85" s="673"/>
      <c r="AC85" s="656"/>
      <c r="AD85" s="675"/>
      <c r="AE85" s="676"/>
      <c r="AF85" s="676"/>
      <c r="AG85" s="440"/>
      <c r="AH85" s="440"/>
      <c r="AI85" s="440"/>
      <c r="AJ85" s="652"/>
      <c r="AK85" s="677"/>
      <c r="AL85" s="675"/>
      <c r="AM85" s="675"/>
      <c r="AN85" s="676"/>
      <c r="AO85" s="676"/>
      <c r="AP85" s="440"/>
      <c r="AQ85" s="677"/>
    </row>
    <row r="86" spans="1:43" x14ac:dyDescent="0.25">
      <c r="A86" s="678"/>
      <c r="B86" s="679" t="s">
        <v>474</v>
      </c>
      <c r="C86" s="249"/>
      <c r="D86" s="250"/>
      <c r="E86" s="250"/>
      <c r="F86" s="250"/>
      <c r="G86" s="250"/>
      <c r="H86" s="250"/>
      <c r="I86" s="250"/>
      <c r="J86" s="250"/>
      <c r="K86" s="250"/>
      <c r="L86" s="250"/>
      <c r="M86" s="250"/>
      <c r="N86" s="251"/>
      <c r="O86" s="250"/>
      <c r="P86" s="250"/>
      <c r="Q86" s="250"/>
      <c r="R86" s="250"/>
      <c r="S86" s="250"/>
      <c r="T86" s="250"/>
      <c r="U86" s="250"/>
      <c r="V86" s="250"/>
      <c r="W86" s="250"/>
      <c r="X86" s="250"/>
      <c r="Y86" s="251"/>
      <c r="Z86" s="655"/>
      <c r="AA86" s="656"/>
      <c r="AB86" s="656"/>
      <c r="AC86" s="656"/>
      <c r="AD86" s="680"/>
      <c r="AE86" s="681"/>
      <c r="AF86" s="681"/>
      <c r="AG86" s="440"/>
      <c r="AH86" s="440"/>
      <c r="AI86" s="440"/>
      <c r="AJ86" s="652"/>
      <c r="AK86" s="658"/>
      <c r="AL86" s="680"/>
      <c r="AM86" s="680"/>
      <c r="AN86" s="681"/>
      <c r="AO86" s="681"/>
      <c r="AP86" s="440"/>
      <c r="AQ86" s="658"/>
    </row>
    <row r="87" spans="1:43" ht="96" x14ac:dyDescent="0.25">
      <c r="A87" s="211" t="s">
        <v>693</v>
      </c>
      <c r="B87" s="654" t="s">
        <v>437</v>
      </c>
      <c r="C87" s="252"/>
      <c r="D87" s="253"/>
      <c r="E87" s="253"/>
      <c r="F87" s="253"/>
      <c r="G87" s="253"/>
      <c r="H87" s="253"/>
      <c r="I87" s="253"/>
      <c r="J87" s="253"/>
      <c r="K87" s="253"/>
      <c r="L87" s="253"/>
      <c r="M87" s="253"/>
      <c r="N87" s="254"/>
      <c r="O87" s="253"/>
      <c r="P87" s="253"/>
      <c r="Q87" s="253"/>
      <c r="R87" s="253"/>
      <c r="S87" s="253"/>
      <c r="T87" s="253"/>
      <c r="U87" s="253" t="s">
        <v>698</v>
      </c>
      <c r="V87" s="253" t="s">
        <v>698</v>
      </c>
      <c r="W87" s="253" t="s">
        <v>698</v>
      </c>
      <c r="X87" s="253" t="s">
        <v>698</v>
      </c>
      <c r="Y87" s="254"/>
      <c r="Z87" s="478"/>
      <c r="AA87" s="479"/>
      <c r="AB87" s="479"/>
      <c r="AC87" s="656"/>
      <c r="AD87" s="442">
        <v>15</v>
      </c>
      <c r="AE87" s="224">
        <v>28</v>
      </c>
      <c r="AF87" s="224">
        <v>880</v>
      </c>
      <c r="AG87" s="440">
        <f t="shared" si="0"/>
        <v>13200</v>
      </c>
      <c r="AH87" s="440">
        <f t="shared" si="1"/>
        <v>24640</v>
      </c>
      <c r="AI87" s="440">
        <f t="shared" si="2"/>
        <v>11440</v>
      </c>
      <c r="AJ87" s="652">
        <v>2838</v>
      </c>
      <c r="AK87" s="444"/>
      <c r="AL87" s="442"/>
      <c r="AM87" s="442"/>
      <c r="AN87" s="224"/>
      <c r="AO87" s="224"/>
      <c r="AP87" s="440">
        <f t="shared" si="3"/>
        <v>0</v>
      </c>
      <c r="AQ87" s="444"/>
    </row>
    <row r="88" spans="1:43" ht="24" x14ac:dyDescent="0.25">
      <c r="A88" s="659" t="s">
        <v>694</v>
      </c>
      <c r="B88" s="660" t="s">
        <v>438</v>
      </c>
      <c r="C88" s="683"/>
      <c r="D88" s="684"/>
      <c r="E88" s="684"/>
      <c r="F88" s="684"/>
      <c r="G88" s="684" t="s">
        <v>698</v>
      </c>
      <c r="H88" s="684" t="s">
        <v>698</v>
      </c>
      <c r="I88" s="684" t="s">
        <v>698</v>
      </c>
      <c r="J88" s="684" t="s">
        <v>698</v>
      </c>
      <c r="K88" s="684" t="s">
        <v>698</v>
      </c>
      <c r="L88" s="684" t="s">
        <v>698</v>
      </c>
      <c r="M88" s="684" t="s">
        <v>698</v>
      </c>
      <c r="N88" s="685" t="s">
        <v>698</v>
      </c>
      <c r="O88" s="684" t="s">
        <v>698</v>
      </c>
      <c r="P88" s="684" t="s">
        <v>698</v>
      </c>
      <c r="Q88" s="684" t="s">
        <v>698</v>
      </c>
      <c r="R88" s="684" t="s">
        <v>698</v>
      </c>
      <c r="S88" s="684" t="s">
        <v>698</v>
      </c>
      <c r="T88" s="684" t="s">
        <v>698</v>
      </c>
      <c r="U88" s="684" t="s">
        <v>698</v>
      </c>
      <c r="V88" s="684" t="s">
        <v>698</v>
      </c>
      <c r="W88" s="684" t="s">
        <v>698</v>
      </c>
      <c r="X88" s="684" t="s">
        <v>698</v>
      </c>
      <c r="Y88" s="685" t="s">
        <v>698</v>
      </c>
      <c r="Z88" s="686"/>
      <c r="AA88" s="687"/>
      <c r="AB88" s="687"/>
      <c r="AC88" s="656"/>
      <c r="AD88" s="667">
        <v>244</v>
      </c>
      <c r="AE88" s="668">
        <v>330</v>
      </c>
      <c r="AF88" s="668">
        <v>880</v>
      </c>
      <c r="AG88" s="440">
        <f t="shared" si="0"/>
        <v>214720</v>
      </c>
      <c r="AH88" s="440">
        <f t="shared" si="1"/>
        <v>290400</v>
      </c>
      <c r="AI88" s="440">
        <f t="shared" si="2"/>
        <v>75680</v>
      </c>
      <c r="AJ88" s="652">
        <v>37884</v>
      </c>
      <c r="AK88" s="689"/>
      <c r="AL88" s="667"/>
      <c r="AM88" s="667"/>
      <c r="AN88" s="668"/>
      <c r="AO88" s="668"/>
      <c r="AP88" s="440">
        <f t="shared" si="3"/>
        <v>0</v>
      </c>
      <c r="AQ88" s="689"/>
    </row>
    <row r="89" spans="1:43" x14ac:dyDescent="0.25">
      <c r="A89" s="670"/>
      <c r="B89" s="671" t="s">
        <v>464</v>
      </c>
      <c r="C89" s="661"/>
      <c r="D89" s="662"/>
      <c r="E89" s="662"/>
      <c r="F89" s="662"/>
      <c r="G89" s="662"/>
      <c r="H89" s="662"/>
      <c r="I89" s="662"/>
      <c r="J89" s="662"/>
      <c r="K89" s="662"/>
      <c r="L89" s="662"/>
      <c r="M89" s="662"/>
      <c r="N89" s="663"/>
      <c r="O89" s="662"/>
      <c r="P89" s="662"/>
      <c r="Q89" s="662"/>
      <c r="R89" s="662"/>
      <c r="S89" s="662"/>
      <c r="T89" s="662"/>
      <c r="U89" s="662"/>
      <c r="V89" s="662"/>
      <c r="W89" s="662"/>
      <c r="X89" s="662"/>
      <c r="Y89" s="663"/>
      <c r="Z89" s="672"/>
      <c r="AA89" s="673"/>
      <c r="AB89" s="673"/>
      <c r="AC89" s="656"/>
      <c r="AD89" s="675"/>
      <c r="AE89" s="676"/>
      <c r="AF89" s="676"/>
      <c r="AG89" s="440"/>
      <c r="AH89" s="440"/>
      <c r="AI89" s="440"/>
      <c r="AJ89" s="652"/>
      <c r="AK89" s="677"/>
      <c r="AL89" s="675"/>
      <c r="AM89" s="675"/>
      <c r="AN89" s="676"/>
      <c r="AO89" s="676"/>
      <c r="AP89" s="440"/>
      <c r="AQ89" s="677"/>
    </row>
    <row r="90" spans="1:43" x14ac:dyDescent="0.25">
      <c r="A90" s="670"/>
      <c r="B90" s="671" t="s">
        <v>439</v>
      </c>
      <c r="C90" s="661"/>
      <c r="D90" s="662"/>
      <c r="E90" s="662"/>
      <c r="F90" s="662"/>
      <c r="G90" s="662"/>
      <c r="H90" s="662"/>
      <c r="I90" s="662"/>
      <c r="J90" s="662"/>
      <c r="K90" s="662"/>
      <c r="L90" s="662"/>
      <c r="M90" s="662"/>
      <c r="N90" s="663"/>
      <c r="O90" s="662"/>
      <c r="P90" s="662"/>
      <c r="Q90" s="662"/>
      <c r="R90" s="662"/>
      <c r="S90" s="662"/>
      <c r="T90" s="662"/>
      <c r="U90" s="662"/>
      <c r="V90" s="662"/>
      <c r="W90" s="662"/>
      <c r="X90" s="662"/>
      <c r="Y90" s="663"/>
      <c r="Z90" s="672"/>
      <c r="AA90" s="673"/>
      <c r="AB90" s="673"/>
      <c r="AC90" s="656"/>
      <c r="AD90" s="675"/>
      <c r="AE90" s="676"/>
      <c r="AF90" s="676"/>
      <c r="AG90" s="440"/>
      <c r="AH90" s="440"/>
      <c r="AI90" s="440"/>
      <c r="AJ90" s="652"/>
      <c r="AK90" s="677"/>
      <c r="AL90" s="675"/>
      <c r="AM90" s="675"/>
      <c r="AN90" s="676"/>
      <c r="AO90" s="676"/>
      <c r="AP90" s="440"/>
      <c r="AQ90" s="677"/>
    </row>
    <row r="91" spans="1:43" x14ac:dyDescent="0.25">
      <c r="A91" s="670"/>
      <c r="B91" s="671" t="s">
        <v>440</v>
      </c>
      <c r="C91" s="661"/>
      <c r="D91" s="662"/>
      <c r="E91" s="662"/>
      <c r="F91" s="662"/>
      <c r="G91" s="662"/>
      <c r="H91" s="662"/>
      <c r="I91" s="662"/>
      <c r="J91" s="662"/>
      <c r="K91" s="662"/>
      <c r="L91" s="662"/>
      <c r="M91" s="662"/>
      <c r="N91" s="663"/>
      <c r="O91" s="662"/>
      <c r="P91" s="662"/>
      <c r="Q91" s="662"/>
      <c r="R91" s="662"/>
      <c r="S91" s="662"/>
      <c r="T91" s="662"/>
      <c r="U91" s="662"/>
      <c r="V91" s="662"/>
      <c r="W91" s="662"/>
      <c r="X91" s="662"/>
      <c r="Y91" s="663"/>
      <c r="Z91" s="672"/>
      <c r="AA91" s="673"/>
      <c r="AB91" s="673"/>
      <c r="AC91" s="656"/>
      <c r="AD91" s="675"/>
      <c r="AE91" s="676"/>
      <c r="AF91" s="676"/>
      <c r="AG91" s="440"/>
      <c r="AH91" s="440"/>
      <c r="AI91" s="440"/>
      <c r="AJ91" s="652"/>
      <c r="AK91" s="677"/>
      <c r="AL91" s="675"/>
      <c r="AM91" s="675"/>
      <c r="AN91" s="676"/>
      <c r="AO91" s="676"/>
      <c r="AP91" s="440"/>
      <c r="AQ91" s="677"/>
    </row>
    <row r="92" spans="1:43" x14ac:dyDescent="0.25">
      <c r="A92" s="670"/>
      <c r="B92" s="671" t="s">
        <v>441</v>
      </c>
      <c r="C92" s="661"/>
      <c r="D92" s="662"/>
      <c r="E92" s="662"/>
      <c r="F92" s="662"/>
      <c r="G92" s="662"/>
      <c r="H92" s="662"/>
      <c r="I92" s="662"/>
      <c r="J92" s="662"/>
      <c r="K92" s="662"/>
      <c r="L92" s="662"/>
      <c r="M92" s="662"/>
      <c r="N92" s="663"/>
      <c r="O92" s="662"/>
      <c r="P92" s="662"/>
      <c r="Q92" s="662"/>
      <c r="R92" s="662"/>
      <c r="S92" s="662"/>
      <c r="T92" s="662"/>
      <c r="U92" s="662"/>
      <c r="V92" s="662"/>
      <c r="W92" s="662"/>
      <c r="X92" s="662"/>
      <c r="Y92" s="663"/>
      <c r="Z92" s="672"/>
      <c r="AA92" s="673"/>
      <c r="AB92" s="673"/>
      <c r="AC92" s="656"/>
      <c r="AD92" s="675"/>
      <c r="AE92" s="676"/>
      <c r="AF92" s="676"/>
      <c r="AG92" s="440"/>
      <c r="AH92" s="440"/>
      <c r="AI92" s="440"/>
      <c r="AJ92" s="652"/>
      <c r="AK92" s="677"/>
      <c r="AL92" s="675"/>
      <c r="AM92" s="675"/>
      <c r="AN92" s="676"/>
      <c r="AO92" s="676"/>
      <c r="AP92" s="440"/>
      <c r="AQ92" s="677"/>
    </row>
    <row r="93" spans="1:43" x14ac:dyDescent="0.25">
      <c r="A93" s="670"/>
      <c r="B93" s="671" t="s">
        <v>442</v>
      </c>
      <c r="C93" s="661"/>
      <c r="D93" s="662"/>
      <c r="E93" s="662"/>
      <c r="F93" s="662"/>
      <c r="G93" s="662"/>
      <c r="H93" s="662"/>
      <c r="I93" s="662"/>
      <c r="J93" s="662"/>
      <c r="K93" s="662"/>
      <c r="L93" s="662"/>
      <c r="M93" s="662"/>
      <c r="N93" s="663"/>
      <c r="O93" s="662"/>
      <c r="P93" s="662"/>
      <c r="Q93" s="662"/>
      <c r="R93" s="662"/>
      <c r="S93" s="662"/>
      <c r="T93" s="662"/>
      <c r="U93" s="662"/>
      <c r="V93" s="662"/>
      <c r="W93" s="662"/>
      <c r="X93" s="662"/>
      <c r="Y93" s="663"/>
      <c r="Z93" s="672"/>
      <c r="AA93" s="673"/>
      <c r="AB93" s="673"/>
      <c r="AC93" s="656"/>
      <c r="AD93" s="675"/>
      <c r="AE93" s="676"/>
      <c r="AF93" s="676"/>
      <c r="AG93" s="440"/>
      <c r="AH93" s="440"/>
      <c r="AI93" s="440"/>
      <c r="AJ93" s="652"/>
      <c r="AK93" s="677"/>
      <c r="AL93" s="675"/>
      <c r="AM93" s="675"/>
      <c r="AN93" s="676"/>
      <c r="AO93" s="676"/>
      <c r="AP93" s="440"/>
      <c r="AQ93" s="677"/>
    </row>
    <row r="94" spans="1:43" ht="36" x14ac:dyDescent="0.25">
      <c r="A94" s="670"/>
      <c r="B94" s="671" t="s">
        <v>443</v>
      </c>
      <c r="C94" s="661"/>
      <c r="D94" s="662"/>
      <c r="E94" s="662"/>
      <c r="F94" s="662"/>
      <c r="G94" s="662"/>
      <c r="H94" s="662"/>
      <c r="I94" s="662"/>
      <c r="J94" s="662"/>
      <c r="K94" s="662"/>
      <c r="L94" s="662"/>
      <c r="M94" s="662"/>
      <c r="N94" s="663"/>
      <c r="O94" s="662"/>
      <c r="P94" s="662"/>
      <c r="Q94" s="662"/>
      <c r="R94" s="662"/>
      <c r="S94" s="662"/>
      <c r="T94" s="662"/>
      <c r="U94" s="662"/>
      <c r="V94" s="662"/>
      <c r="W94" s="662"/>
      <c r="X94" s="662"/>
      <c r="Y94" s="663"/>
      <c r="Z94" s="672"/>
      <c r="AA94" s="673"/>
      <c r="AB94" s="673"/>
      <c r="AC94" s="656"/>
      <c r="AD94" s="675"/>
      <c r="AE94" s="676"/>
      <c r="AF94" s="676"/>
      <c r="AG94" s="440"/>
      <c r="AH94" s="440"/>
      <c r="AI94" s="440"/>
      <c r="AJ94" s="652"/>
      <c r="AK94" s="677"/>
      <c r="AL94" s="675"/>
      <c r="AM94" s="675"/>
      <c r="AN94" s="676"/>
      <c r="AO94" s="676"/>
      <c r="AP94" s="440"/>
      <c r="AQ94" s="677"/>
    </row>
    <row r="95" spans="1:43" x14ac:dyDescent="0.25">
      <c r="A95" s="670"/>
      <c r="B95" s="671" t="s">
        <v>444</v>
      </c>
      <c r="C95" s="661"/>
      <c r="D95" s="662"/>
      <c r="E95" s="662"/>
      <c r="F95" s="662"/>
      <c r="G95" s="662"/>
      <c r="H95" s="662"/>
      <c r="I95" s="662"/>
      <c r="J95" s="662"/>
      <c r="K95" s="662"/>
      <c r="L95" s="662"/>
      <c r="M95" s="662"/>
      <c r="N95" s="663"/>
      <c r="O95" s="662"/>
      <c r="P95" s="662"/>
      <c r="Q95" s="662"/>
      <c r="R95" s="662"/>
      <c r="S95" s="662"/>
      <c r="T95" s="662"/>
      <c r="U95" s="662"/>
      <c r="V95" s="662"/>
      <c r="W95" s="662"/>
      <c r="X95" s="662"/>
      <c r="Y95" s="663"/>
      <c r="Z95" s="672"/>
      <c r="AA95" s="673"/>
      <c r="AB95" s="673"/>
      <c r="AC95" s="656"/>
      <c r="AD95" s="675"/>
      <c r="AE95" s="676"/>
      <c r="AF95" s="676"/>
      <c r="AG95" s="440"/>
      <c r="AH95" s="440"/>
      <c r="AI95" s="440"/>
      <c r="AJ95" s="652"/>
      <c r="AK95" s="677"/>
      <c r="AL95" s="675"/>
      <c r="AM95" s="675"/>
      <c r="AN95" s="676"/>
      <c r="AO95" s="676"/>
      <c r="AP95" s="440"/>
      <c r="AQ95" s="677"/>
    </row>
    <row r="96" spans="1:43" ht="24" x14ac:dyDescent="0.25">
      <c r="A96" s="670"/>
      <c r="B96" s="671" t="s">
        <v>445</v>
      </c>
      <c r="C96" s="661"/>
      <c r="D96" s="662"/>
      <c r="E96" s="662"/>
      <c r="F96" s="662"/>
      <c r="G96" s="662"/>
      <c r="H96" s="662"/>
      <c r="I96" s="662"/>
      <c r="J96" s="662"/>
      <c r="K96" s="662"/>
      <c r="L96" s="662"/>
      <c r="M96" s="662"/>
      <c r="N96" s="663"/>
      <c r="O96" s="662"/>
      <c r="P96" s="662"/>
      <c r="Q96" s="662"/>
      <c r="R96" s="662"/>
      <c r="S96" s="662"/>
      <c r="T96" s="662"/>
      <c r="U96" s="662"/>
      <c r="V96" s="662"/>
      <c r="W96" s="662"/>
      <c r="X96" s="662"/>
      <c r="Y96" s="663"/>
      <c r="Z96" s="672"/>
      <c r="AA96" s="673"/>
      <c r="AB96" s="673"/>
      <c r="AC96" s="656"/>
      <c r="AD96" s="675"/>
      <c r="AE96" s="676"/>
      <c r="AF96" s="676"/>
      <c r="AG96" s="440"/>
      <c r="AH96" s="440"/>
      <c r="AI96" s="440"/>
      <c r="AJ96" s="652"/>
      <c r="AK96" s="677"/>
      <c r="AL96" s="675"/>
      <c r="AM96" s="675"/>
      <c r="AN96" s="676"/>
      <c r="AO96" s="676"/>
      <c r="AP96" s="440"/>
      <c r="AQ96" s="677"/>
    </row>
    <row r="97" spans="1:43" x14ac:dyDescent="0.25">
      <c r="A97" s="670"/>
      <c r="B97" s="671" t="s">
        <v>446</v>
      </c>
      <c r="C97" s="661"/>
      <c r="D97" s="662"/>
      <c r="E97" s="662"/>
      <c r="F97" s="662"/>
      <c r="G97" s="662"/>
      <c r="H97" s="662"/>
      <c r="I97" s="662"/>
      <c r="J97" s="662"/>
      <c r="K97" s="662"/>
      <c r="L97" s="662"/>
      <c r="M97" s="662"/>
      <c r="N97" s="663"/>
      <c r="O97" s="662"/>
      <c r="P97" s="662"/>
      <c r="Q97" s="662"/>
      <c r="R97" s="662"/>
      <c r="S97" s="662"/>
      <c r="T97" s="662"/>
      <c r="U97" s="662"/>
      <c r="V97" s="662"/>
      <c r="W97" s="662"/>
      <c r="X97" s="662"/>
      <c r="Y97" s="663"/>
      <c r="Z97" s="672"/>
      <c r="AA97" s="673"/>
      <c r="AB97" s="673"/>
      <c r="AC97" s="656"/>
      <c r="AD97" s="675"/>
      <c r="AE97" s="676"/>
      <c r="AF97" s="676"/>
      <c r="AG97" s="440"/>
      <c r="AH97" s="440"/>
      <c r="AI97" s="440"/>
      <c r="AJ97" s="652"/>
      <c r="AK97" s="677"/>
      <c r="AL97" s="675"/>
      <c r="AM97" s="675"/>
      <c r="AN97" s="676"/>
      <c r="AO97" s="676"/>
      <c r="AP97" s="440"/>
      <c r="AQ97" s="677"/>
    </row>
    <row r="98" spans="1:43" ht="36" x14ac:dyDescent="0.25">
      <c r="A98" s="670"/>
      <c r="B98" s="671" t="s">
        <v>447</v>
      </c>
      <c r="C98" s="661"/>
      <c r="D98" s="662"/>
      <c r="E98" s="662"/>
      <c r="F98" s="662"/>
      <c r="G98" s="662"/>
      <c r="H98" s="662"/>
      <c r="I98" s="662"/>
      <c r="J98" s="662"/>
      <c r="K98" s="662"/>
      <c r="L98" s="662"/>
      <c r="M98" s="662"/>
      <c r="N98" s="663"/>
      <c r="O98" s="662"/>
      <c r="P98" s="662"/>
      <c r="Q98" s="662"/>
      <c r="R98" s="662"/>
      <c r="S98" s="662"/>
      <c r="T98" s="662"/>
      <c r="U98" s="662"/>
      <c r="V98" s="662"/>
      <c r="W98" s="662"/>
      <c r="X98" s="662"/>
      <c r="Y98" s="663"/>
      <c r="Z98" s="672"/>
      <c r="AA98" s="673"/>
      <c r="AB98" s="673"/>
      <c r="AC98" s="656"/>
      <c r="AD98" s="675"/>
      <c r="AE98" s="676"/>
      <c r="AF98" s="676"/>
      <c r="AG98" s="440"/>
      <c r="AH98" s="440"/>
      <c r="AI98" s="440"/>
      <c r="AJ98" s="652"/>
      <c r="AK98" s="677"/>
      <c r="AL98" s="675"/>
      <c r="AM98" s="675"/>
      <c r="AN98" s="676"/>
      <c r="AO98" s="676"/>
      <c r="AP98" s="440"/>
      <c r="AQ98" s="677"/>
    </row>
    <row r="99" spans="1:43" x14ac:dyDescent="0.25">
      <c r="A99" s="670"/>
      <c r="B99" s="671" t="s">
        <v>448</v>
      </c>
      <c r="C99" s="661"/>
      <c r="D99" s="662"/>
      <c r="E99" s="662"/>
      <c r="F99" s="662"/>
      <c r="G99" s="662"/>
      <c r="H99" s="662"/>
      <c r="I99" s="662"/>
      <c r="J99" s="662"/>
      <c r="K99" s="662"/>
      <c r="L99" s="662"/>
      <c r="M99" s="662"/>
      <c r="N99" s="663"/>
      <c r="O99" s="662"/>
      <c r="P99" s="662"/>
      <c r="Q99" s="662"/>
      <c r="R99" s="662"/>
      <c r="S99" s="662"/>
      <c r="T99" s="662"/>
      <c r="U99" s="662"/>
      <c r="V99" s="662"/>
      <c r="W99" s="662"/>
      <c r="X99" s="662"/>
      <c r="Y99" s="663"/>
      <c r="Z99" s="672"/>
      <c r="AA99" s="673"/>
      <c r="AB99" s="673"/>
      <c r="AC99" s="656"/>
      <c r="AD99" s="675"/>
      <c r="AE99" s="676"/>
      <c r="AF99" s="676"/>
      <c r="AG99" s="440"/>
      <c r="AH99" s="440"/>
      <c r="AI99" s="440"/>
      <c r="AJ99" s="652"/>
      <c r="AK99" s="677"/>
      <c r="AL99" s="675"/>
      <c r="AM99" s="675"/>
      <c r="AN99" s="676"/>
      <c r="AO99" s="676"/>
      <c r="AP99" s="440"/>
      <c r="AQ99" s="677"/>
    </row>
    <row r="100" spans="1:43" x14ac:dyDescent="0.25">
      <c r="A100" s="670"/>
      <c r="B100" s="671" t="s">
        <v>449</v>
      </c>
      <c r="C100" s="661"/>
      <c r="D100" s="662"/>
      <c r="E100" s="662"/>
      <c r="F100" s="662"/>
      <c r="G100" s="662"/>
      <c r="H100" s="662"/>
      <c r="I100" s="662"/>
      <c r="J100" s="662"/>
      <c r="K100" s="662"/>
      <c r="L100" s="662"/>
      <c r="M100" s="662"/>
      <c r="N100" s="663"/>
      <c r="O100" s="662"/>
      <c r="P100" s="662"/>
      <c r="Q100" s="662"/>
      <c r="R100" s="662"/>
      <c r="S100" s="662"/>
      <c r="T100" s="662"/>
      <c r="U100" s="662"/>
      <c r="V100" s="662"/>
      <c r="W100" s="662"/>
      <c r="X100" s="662"/>
      <c r="Y100" s="663"/>
      <c r="Z100" s="672"/>
      <c r="AA100" s="673"/>
      <c r="AB100" s="673"/>
      <c r="AC100" s="656"/>
      <c r="AD100" s="675"/>
      <c r="AE100" s="676"/>
      <c r="AF100" s="676"/>
      <c r="AG100" s="440"/>
      <c r="AH100" s="440"/>
      <c r="AI100" s="440"/>
      <c r="AJ100" s="652"/>
      <c r="AK100" s="677"/>
      <c r="AL100" s="675"/>
      <c r="AM100" s="675"/>
      <c r="AN100" s="676"/>
      <c r="AO100" s="676"/>
      <c r="AP100" s="440"/>
      <c r="AQ100" s="677"/>
    </row>
    <row r="101" spans="1:43" x14ac:dyDescent="0.25">
      <c r="A101" s="670"/>
      <c r="B101" s="671" t="s">
        <v>450</v>
      </c>
      <c r="C101" s="661"/>
      <c r="D101" s="662"/>
      <c r="E101" s="662"/>
      <c r="F101" s="662"/>
      <c r="G101" s="662"/>
      <c r="H101" s="662"/>
      <c r="I101" s="662"/>
      <c r="J101" s="662"/>
      <c r="K101" s="662"/>
      <c r="L101" s="662"/>
      <c r="M101" s="662"/>
      <c r="N101" s="663"/>
      <c r="O101" s="662"/>
      <c r="P101" s="662"/>
      <c r="Q101" s="662"/>
      <c r="R101" s="662"/>
      <c r="S101" s="662"/>
      <c r="T101" s="662"/>
      <c r="U101" s="662"/>
      <c r="V101" s="662"/>
      <c r="W101" s="662"/>
      <c r="X101" s="662"/>
      <c r="Y101" s="663"/>
      <c r="Z101" s="672"/>
      <c r="AA101" s="673"/>
      <c r="AB101" s="673"/>
      <c r="AC101" s="656"/>
      <c r="AD101" s="675"/>
      <c r="AE101" s="676"/>
      <c r="AF101" s="676"/>
      <c r="AG101" s="440"/>
      <c r="AH101" s="440"/>
      <c r="AI101" s="440"/>
      <c r="AJ101" s="652"/>
      <c r="AK101" s="677"/>
      <c r="AL101" s="675"/>
      <c r="AM101" s="675"/>
      <c r="AN101" s="676"/>
      <c r="AO101" s="676"/>
      <c r="AP101" s="440"/>
      <c r="AQ101" s="677"/>
    </row>
    <row r="102" spans="1:43" x14ac:dyDescent="0.25">
      <c r="A102" s="670"/>
      <c r="B102" s="671" t="s">
        <v>451</v>
      </c>
      <c r="C102" s="661"/>
      <c r="D102" s="662"/>
      <c r="E102" s="662"/>
      <c r="F102" s="662"/>
      <c r="G102" s="662"/>
      <c r="H102" s="662"/>
      <c r="I102" s="662"/>
      <c r="J102" s="662"/>
      <c r="K102" s="662"/>
      <c r="L102" s="662"/>
      <c r="M102" s="662"/>
      <c r="N102" s="663"/>
      <c r="O102" s="662"/>
      <c r="P102" s="662"/>
      <c r="Q102" s="662"/>
      <c r="R102" s="662"/>
      <c r="S102" s="662"/>
      <c r="T102" s="662"/>
      <c r="U102" s="662"/>
      <c r="V102" s="662"/>
      <c r="W102" s="662"/>
      <c r="X102" s="662"/>
      <c r="Y102" s="663"/>
      <c r="Z102" s="672"/>
      <c r="AA102" s="673"/>
      <c r="AB102" s="673"/>
      <c r="AC102" s="656"/>
      <c r="AD102" s="675"/>
      <c r="AE102" s="676"/>
      <c r="AF102" s="676"/>
      <c r="AG102" s="440"/>
      <c r="AH102" s="440"/>
      <c r="AI102" s="440"/>
      <c r="AJ102" s="652"/>
      <c r="AK102" s="677"/>
      <c r="AL102" s="675"/>
      <c r="AM102" s="675"/>
      <c r="AN102" s="676"/>
      <c r="AO102" s="676"/>
      <c r="AP102" s="440"/>
      <c r="AQ102" s="677"/>
    </row>
    <row r="103" spans="1:43" x14ac:dyDescent="0.25">
      <c r="A103" s="670"/>
      <c r="B103" s="671" t="s">
        <v>452</v>
      </c>
      <c r="C103" s="661"/>
      <c r="D103" s="662"/>
      <c r="E103" s="662"/>
      <c r="F103" s="662"/>
      <c r="G103" s="662"/>
      <c r="H103" s="662"/>
      <c r="I103" s="662"/>
      <c r="J103" s="662"/>
      <c r="K103" s="662"/>
      <c r="L103" s="662"/>
      <c r="M103" s="662"/>
      <c r="N103" s="663"/>
      <c r="O103" s="662"/>
      <c r="P103" s="662"/>
      <c r="Q103" s="662"/>
      <c r="R103" s="662"/>
      <c r="S103" s="662"/>
      <c r="T103" s="662"/>
      <c r="U103" s="662"/>
      <c r="V103" s="662"/>
      <c r="W103" s="662"/>
      <c r="X103" s="662"/>
      <c r="Y103" s="663"/>
      <c r="Z103" s="672"/>
      <c r="AA103" s="673"/>
      <c r="AB103" s="673"/>
      <c r="AC103" s="656"/>
      <c r="AD103" s="675"/>
      <c r="AE103" s="676"/>
      <c r="AF103" s="676"/>
      <c r="AG103" s="440"/>
      <c r="AH103" s="440"/>
      <c r="AI103" s="440"/>
      <c r="AJ103" s="652"/>
      <c r="AK103" s="677"/>
      <c r="AL103" s="675"/>
      <c r="AM103" s="675"/>
      <c r="AN103" s="676"/>
      <c r="AO103" s="676"/>
      <c r="AP103" s="440"/>
      <c r="AQ103" s="677"/>
    </row>
    <row r="104" spans="1:43" x14ac:dyDescent="0.25">
      <c r="A104" s="670"/>
      <c r="B104" s="671" t="s">
        <v>453</v>
      </c>
      <c r="C104" s="661"/>
      <c r="D104" s="662"/>
      <c r="E104" s="662"/>
      <c r="F104" s="662"/>
      <c r="G104" s="662"/>
      <c r="H104" s="662"/>
      <c r="I104" s="662"/>
      <c r="J104" s="662"/>
      <c r="K104" s="662"/>
      <c r="L104" s="662"/>
      <c r="M104" s="662"/>
      <c r="N104" s="663"/>
      <c r="O104" s="662"/>
      <c r="P104" s="662"/>
      <c r="Q104" s="662"/>
      <c r="R104" s="662"/>
      <c r="S104" s="662"/>
      <c r="T104" s="662"/>
      <c r="U104" s="662"/>
      <c r="V104" s="662"/>
      <c r="W104" s="662"/>
      <c r="X104" s="662"/>
      <c r="Y104" s="663"/>
      <c r="Z104" s="672"/>
      <c r="AA104" s="673"/>
      <c r="AB104" s="673"/>
      <c r="AC104" s="656"/>
      <c r="AD104" s="675"/>
      <c r="AE104" s="676"/>
      <c r="AF104" s="676"/>
      <c r="AG104" s="440"/>
      <c r="AH104" s="440"/>
      <c r="AI104" s="440"/>
      <c r="AJ104" s="652"/>
      <c r="AK104" s="677"/>
      <c r="AL104" s="675"/>
      <c r="AM104" s="675"/>
      <c r="AN104" s="676"/>
      <c r="AO104" s="676"/>
      <c r="AP104" s="440"/>
      <c r="AQ104" s="677"/>
    </row>
    <row r="105" spans="1:43" ht="24" x14ac:dyDescent="0.25">
      <c r="A105" s="670"/>
      <c r="B105" s="671" t="s">
        <v>454</v>
      </c>
      <c r="C105" s="661"/>
      <c r="D105" s="662"/>
      <c r="E105" s="662"/>
      <c r="F105" s="662"/>
      <c r="G105" s="662"/>
      <c r="H105" s="662"/>
      <c r="I105" s="662"/>
      <c r="J105" s="662"/>
      <c r="K105" s="662"/>
      <c r="L105" s="662"/>
      <c r="M105" s="662"/>
      <c r="N105" s="663"/>
      <c r="O105" s="662"/>
      <c r="P105" s="662"/>
      <c r="Q105" s="662"/>
      <c r="R105" s="662"/>
      <c r="S105" s="662"/>
      <c r="T105" s="662"/>
      <c r="U105" s="662"/>
      <c r="V105" s="662"/>
      <c r="W105" s="662"/>
      <c r="X105" s="662"/>
      <c r="Y105" s="663"/>
      <c r="Z105" s="672"/>
      <c r="AA105" s="673"/>
      <c r="AB105" s="673"/>
      <c r="AC105" s="656"/>
      <c r="AD105" s="675"/>
      <c r="AE105" s="676"/>
      <c r="AF105" s="676"/>
      <c r="AG105" s="440"/>
      <c r="AH105" s="440"/>
      <c r="AI105" s="440"/>
      <c r="AJ105" s="652"/>
      <c r="AK105" s="677"/>
      <c r="AL105" s="675"/>
      <c r="AM105" s="675"/>
      <c r="AN105" s="676"/>
      <c r="AO105" s="676"/>
      <c r="AP105" s="440"/>
      <c r="AQ105" s="677"/>
    </row>
    <row r="106" spans="1:43" ht="24" x14ac:dyDescent="0.25">
      <c r="A106" s="670"/>
      <c r="B106" s="671" t="s">
        <v>455</v>
      </c>
      <c r="C106" s="661"/>
      <c r="D106" s="662"/>
      <c r="E106" s="662"/>
      <c r="F106" s="662"/>
      <c r="G106" s="662"/>
      <c r="H106" s="662"/>
      <c r="I106" s="662"/>
      <c r="J106" s="662"/>
      <c r="K106" s="662"/>
      <c r="L106" s="662"/>
      <c r="M106" s="662"/>
      <c r="N106" s="663"/>
      <c r="O106" s="662"/>
      <c r="P106" s="662"/>
      <c r="Q106" s="662"/>
      <c r="R106" s="662"/>
      <c r="S106" s="662"/>
      <c r="T106" s="662"/>
      <c r="U106" s="662"/>
      <c r="V106" s="662"/>
      <c r="W106" s="662"/>
      <c r="X106" s="662"/>
      <c r="Y106" s="663"/>
      <c r="Z106" s="672"/>
      <c r="AA106" s="673"/>
      <c r="AB106" s="673"/>
      <c r="AC106" s="656"/>
      <c r="AD106" s="675"/>
      <c r="AE106" s="676"/>
      <c r="AF106" s="676"/>
      <c r="AG106" s="440"/>
      <c r="AH106" s="440"/>
      <c r="AI106" s="440"/>
      <c r="AJ106" s="652"/>
      <c r="AK106" s="677"/>
      <c r="AL106" s="675"/>
      <c r="AM106" s="675"/>
      <c r="AN106" s="676"/>
      <c r="AO106" s="676"/>
      <c r="AP106" s="440"/>
      <c r="AQ106" s="677"/>
    </row>
    <row r="107" spans="1:43" x14ac:dyDescent="0.25">
      <c r="A107" s="670"/>
      <c r="B107" s="671" t="s">
        <v>456</v>
      </c>
      <c r="C107" s="661"/>
      <c r="D107" s="662"/>
      <c r="E107" s="662"/>
      <c r="F107" s="662"/>
      <c r="G107" s="662"/>
      <c r="H107" s="662"/>
      <c r="I107" s="662"/>
      <c r="J107" s="662"/>
      <c r="K107" s="662"/>
      <c r="L107" s="662"/>
      <c r="M107" s="662"/>
      <c r="N107" s="663"/>
      <c r="O107" s="662"/>
      <c r="P107" s="662"/>
      <c r="Q107" s="662"/>
      <c r="R107" s="662"/>
      <c r="S107" s="662"/>
      <c r="T107" s="662"/>
      <c r="U107" s="662"/>
      <c r="V107" s="662"/>
      <c r="W107" s="662"/>
      <c r="X107" s="662"/>
      <c r="Y107" s="663"/>
      <c r="Z107" s="672"/>
      <c r="AA107" s="673"/>
      <c r="AB107" s="673"/>
      <c r="AC107" s="656"/>
      <c r="AD107" s="675"/>
      <c r="AE107" s="676"/>
      <c r="AF107" s="676"/>
      <c r="AG107" s="440"/>
      <c r="AH107" s="440"/>
      <c r="AI107" s="440"/>
      <c r="AJ107" s="652"/>
      <c r="AK107" s="677"/>
      <c r="AL107" s="675"/>
      <c r="AM107" s="675"/>
      <c r="AN107" s="676"/>
      <c r="AO107" s="676"/>
      <c r="AP107" s="440"/>
      <c r="AQ107" s="677"/>
    </row>
    <row r="108" spans="1:43" x14ac:dyDescent="0.25">
      <c r="A108" s="670"/>
      <c r="B108" s="671" t="s">
        <v>457</v>
      </c>
      <c r="C108" s="661"/>
      <c r="D108" s="662"/>
      <c r="E108" s="662"/>
      <c r="F108" s="662"/>
      <c r="G108" s="662"/>
      <c r="H108" s="662"/>
      <c r="I108" s="662"/>
      <c r="J108" s="662"/>
      <c r="K108" s="662"/>
      <c r="L108" s="662"/>
      <c r="M108" s="662"/>
      <c r="N108" s="663"/>
      <c r="O108" s="662"/>
      <c r="P108" s="662"/>
      <c r="Q108" s="662"/>
      <c r="R108" s="662"/>
      <c r="S108" s="662"/>
      <c r="T108" s="662"/>
      <c r="U108" s="662"/>
      <c r="V108" s="662"/>
      <c r="W108" s="662"/>
      <c r="X108" s="662"/>
      <c r="Y108" s="663"/>
      <c r="Z108" s="672"/>
      <c r="AA108" s="673"/>
      <c r="AB108" s="673"/>
      <c r="AC108" s="656"/>
      <c r="AD108" s="675"/>
      <c r="AE108" s="676"/>
      <c r="AF108" s="676"/>
      <c r="AG108" s="440"/>
      <c r="AH108" s="440"/>
      <c r="AI108" s="440"/>
      <c r="AJ108" s="652"/>
      <c r="AK108" s="677"/>
      <c r="AL108" s="675"/>
      <c r="AM108" s="675"/>
      <c r="AN108" s="676"/>
      <c r="AO108" s="676"/>
      <c r="AP108" s="440"/>
      <c r="AQ108" s="677"/>
    </row>
    <row r="109" spans="1:43" x14ac:dyDescent="0.25">
      <c r="A109" s="670"/>
      <c r="B109" s="671" t="s">
        <v>458</v>
      </c>
      <c r="C109" s="661"/>
      <c r="D109" s="662"/>
      <c r="E109" s="662"/>
      <c r="F109" s="662"/>
      <c r="G109" s="662"/>
      <c r="H109" s="662"/>
      <c r="I109" s="662"/>
      <c r="J109" s="662"/>
      <c r="K109" s="662"/>
      <c r="L109" s="662"/>
      <c r="M109" s="662"/>
      <c r="N109" s="663"/>
      <c r="O109" s="662"/>
      <c r="P109" s="662"/>
      <c r="Q109" s="662"/>
      <c r="R109" s="662"/>
      <c r="S109" s="662"/>
      <c r="T109" s="662"/>
      <c r="U109" s="662"/>
      <c r="V109" s="662"/>
      <c r="W109" s="662"/>
      <c r="X109" s="662"/>
      <c r="Y109" s="663"/>
      <c r="Z109" s="672"/>
      <c r="AA109" s="673"/>
      <c r="AB109" s="673"/>
      <c r="AC109" s="656"/>
      <c r="AD109" s="675"/>
      <c r="AE109" s="676"/>
      <c r="AF109" s="676"/>
      <c r="AG109" s="440"/>
      <c r="AH109" s="440"/>
      <c r="AI109" s="440"/>
      <c r="AJ109" s="652"/>
      <c r="AK109" s="677"/>
      <c r="AL109" s="675"/>
      <c r="AM109" s="675"/>
      <c r="AN109" s="676"/>
      <c r="AO109" s="676"/>
      <c r="AP109" s="440"/>
      <c r="AQ109" s="677"/>
    </row>
    <row r="110" spans="1:43" ht="24" x14ac:dyDescent="0.25">
      <c r="A110" s="670"/>
      <c r="B110" s="671" t="s">
        <v>459</v>
      </c>
      <c r="C110" s="661"/>
      <c r="D110" s="662"/>
      <c r="E110" s="662"/>
      <c r="F110" s="662"/>
      <c r="G110" s="662"/>
      <c r="H110" s="662"/>
      <c r="I110" s="662"/>
      <c r="J110" s="662"/>
      <c r="K110" s="662"/>
      <c r="L110" s="662"/>
      <c r="M110" s="662"/>
      <c r="N110" s="663"/>
      <c r="O110" s="662"/>
      <c r="P110" s="662"/>
      <c r="Q110" s="662"/>
      <c r="R110" s="662"/>
      <c r="S110" s="662"/>
      <c r="T110" s="662"/>
      <c r="U110" s="662"/>
      <c r="V110" s="662"/>
      <c r="W110" s="662"/>
      <c r="X110" s="662"/>
      <c r="Y110" s="663"/>
      <c r="Z110" s="672"/>
      <c r="AA110" s="673"/>
      <c r="AB110" s="673"/>
      <c r="AC110" s="656"/>
      <c r="AD110" s="675"/>
      <c r="AE110" s="676"/>
      <c r="AF110" s="676"/>
      <c r="AG110" s="440"/>
      <c r="AH110" s="440"/>
      <c r="AI110" s="440"/>
      <c r="AJ110" s="652"/>
      <c r="AK110" s="677"/>
      <c r="AL110" s="675"/>
      <c r="AM110" s="675"/>
      <c r="AN110" s="676"/>
      <c r="AO110" s="676"/>
      <c r="AP110" s="440"/>
      <c r="AQ110" s="677"/>
    </row>
    <row r="111" spans="1:43" x14ac:dyDescent="0.25">
      <c r="A111" s="670"/>
      <c r="B111" s="671" t="s">
        <v>460</v>
      </c>
      <c r="C111" s="661"/>
      <c r="D111" s="662"/>
      <c r="E111" s="662"/>
      <c r="F111" s="662"/>
      <c r="G111" s="662"/>
      <c r="H111" s="662"/>
      <c r="I111" s="662"/>
      <c r="J111" s="662"/>
      <c r="K111" s="662"/>
      <c r="L111" s="662"/>
      <c r="M111" s="662"/>
      <c r="N111" s="663"/>
      <c r="O111" s="662"/>
      <c r="P111" s="662"/>
      <c r="Q111" s="662"/>
      <c r="R111" s="662"/>
      <c r="S111" s="662"/>
      <c r="T111" s="662"/>
      <c r="U111" s="662"/>
      <c r="V111" s="662"/>
      <c r="W111" s="662"/>
      <c r="X111" s="662"/>
      <c r="Y111" s="663"/>
      <c r="Z111" s="672"/>
      <c r="AA111" s="673"/>
      <c r="AB111" s="673"/>
      <c r="AC111" s="656"/>
      <c r="AD111" s="675"/>
      <c r="AE111" s="676"/>
      <c r="AF111" s="676"/>
      <c r="AG111" s="440"/>
      <c r="AH111" s="440"/>
      <c r="AI111" s="440"/>
      <c r="AJ111" s="652"/>
      <c r="AK111" s="677"/>
      <c r="AL111" s="675"/>
      <c r="AM111" s="675"/>
      <c r="AN111" s="676"/>
      <c r="AO111" s="676"/>
      <c r="AP111" s="440"/>
      <c r="AQ111" s="677"/>
    </row>
    <row r="112" spans="1:43" ht="24" x14ac:dyDescent="0.25">
      <c r="A112" s="670"/>
      <c r="B112" s="671" t="s">
        <v>461</v>
      </c>
      <c r="C112" s="661"/>
      <c r="D112" s="662"/>
      <c r="E112" s="662"/>
      <c r="F112" s="662"/>
      <c r="G112" s="662"/>
      <c r="H112" s="662"/>
      <c r="I112" s="662"/>
      <c r="J112" s="662"/>
      <c r="K112" s="662"/>
      <c r="L112" s="662"/>
      <c r="M112" s="662"/>
      <c r="N112" s="663"/>
      <c r="O112" s="662"/>
      <c r="P112" s="662"/>
      <c r="Q112" s="662"/>
      <c r="R112" s="662"/>
      <c r="S112" s="662"/>
      <c r="T112" s="662"/>
      <c r="U112" s="662"/>
      <c r="V112" s="662"/>
      <c r="W112" s="662"/>
      <c r="X112" s="662"/>
      <c r="Y112" s="663"/>
      <c r="Z112" s="672"/>
      <c r="AA112" s="673"/>
      <c r="AB112" s="673"/>
      <c r="AC112" s="656"/>
      <c r="AD112" s="675"/>
      <c r="AE112" s="676"/>
      <c r="AF112" s="676"/>
      <c r="AG112" s="440"/>
      <c r="AH112" s="440"/>
      <c r="AI112" s="440"/>
      <c r="AJ112" s="652"/>
      <c r="AK112" s="677"/>
      <c r="AL112" s="675"/>
      <c r="AM112" s="675"/>
      <c r="AN112" s="676"/>
      <c r="AO112" s="676"/>
      <c r="AP112" s="440"/>
      <c r="AQ112" s="677"/>
    </row>
    <row r="113" spans="1:43" x14ac:dyDescent="0.25">
      <c r="A113" s="670"/>
      <c r="B113" s="671" t="s">
        <v>462</v>
      </c>
      <c r="C113" s="661"/>
      <c r="D113" s="662"/>
      <c r="E113" s="662"/>
      <c r="F113" s="662"/>
      <c r="G113" s="662"/>
      <c r="H113" s="662"/>
      <c r="I113" s="662"/>
      <c r="J113" s="662"/>
      <c r="K113" s="662"/>
      <c r="L113" s="662"/>
      <c r="M113" s="662"/>
      <c r="N113" s="663"/>
      <c r="O113" s="662"/>
      <c r="P113" s="662"/>
      <c r="Q113" s="662"/>
      <c r="R113" s="662"/>
      <c r="S113" s="662"/>
      <c r="T113" s="662"/>
      <c r="U113" s="662"/>
      <c r="V113" s="662"/>
      <c r="W113" s="662"/>
      <c r="X113" s="662"/>
      <c r="Y113" s="663"/>
      <c r="Z113" s="672"/>
      <c r="AA113" s="673"/>
      <c r="AB113" s="673"/>
      <c r="AC113" s="656"/>
      <c r="AD113" s="675"/>
      <c r="AE113" s="676"/>
      <c r="AF113" s="676"/>
      <c r="AG113" s="440"/>
      <c r="AH113" s="440"/>
      <c r="AI113" s="440"/>
      <c r="AJ113" s="652"/>
      <c r="AK113" s="677"/>
      <c r="AL113" s="675"/>
      <c r="AM113" s="675"/>
      <c r="AN113" s="676"/>
      <c r="AO113" s="676"/>
      <c r="AP113" s="440"/>
      <c r="AQ113" s="677"/>
    </row>
    <row r="114" spans="1:43" ht="24" x14ac:dyDescent="0.25">
      <c r="A114" s="670"/>
      <c r="B114" s="671" t="s">
        <v>463</v>
      </c>
      <c r="C114" s="661"/>
      <c r="D114" s="662"/>
      <c r="E114" s="662"/>
      <c r="F114" s="662"/>
      <c r="G114" s="662"/>
      <c r="H114" s="662"/>
      <c r="I114" s="662"/>
      <c r="J114" s="662"/>
      <c r="K114" s="662"/>
      <c r="L114" s="662"/>
      <c r="M114" s="662"/>
      <c r="N114" s="663"/>
      <c r="O114" s="662"/>
      <c r="P114" s="662"/>
      <c r="Q114" s="662"/>
      <c r="R114" s="662"/>
      <c r="S114" s="662"/>
      <c r="T114" s="662"/>
      <c r="U114" s="662"/>
      <c r="V114" s="662"/>
      <c r="W114" s="662"/>
      <c r="X114" s="662"/>
      <c r="Y114" s="663"/>
      <c r="Z114" s="672"/>
      <c r="AA114" s="673"/>
      <c r="AB114" s="673"/>
      <c r="AC114" s="656"/>
      <c r="AD114" s="675"/>
      <c r="AE114" s="676"/>
      <c r="AF114" s="676"/>
      <c r="AG114" s="440"/>
      <c r="AH114" s="440"/>
      <c r="AI114" s="440"/>
      <c r="AJ114" s="652"/>
      <c r="AK114" s="677"/>
      <c r="AL114" s="675"/>
      <c r="AM114" s="675"/>
      <c r="AN114" s="676"/>
      <c r="AO114" s="676"/>
      <c r="AP114" s="440"/>
      <c r="AQ114" s="677"/>
    </row>
    <row r="115" spans="1:43" x14ac:dyDescent="0.25">
      <c r="A115" s="670"/>
      <c r="B115" s="671" t="s">
        <v>465</v>
      </c>
      <c r="C115" s="661"/>
      <c r="D115" s="662"/>
      <c r="E115" s="662"/>
      <c r="F115" s="662"/>
      <c r="G115" s="662"/>
      <c r="H115" s="662"/>
      <c r="I115" s="662"/>
      <c r="J115" s="662"/>
      <c r="K115" s="662"/>
      <c r="L115" s="662"/>
      <c r="M115" s="662"/>
      <c r="N115" s="663"/>
      <c r="O115" s="662"/>
      <c r="P115" s="662"/>
      <c r="Q115" s="662"/>
      <c r="R115" s="662"/>
      <c r="S115" s="662"/>
      <c r="T115" s="662"/>
      <c r="U115" s="662"/>
      <c r="V115" s="662"/>
      <c r="W115" s="662"/>
      <c r="X115" s="662"/>
      <c r="Y115" s="663"/>
      <c r="Z115" s="672"/>
      <c r="AA115" s="673"/>
      <c r="AB115" s="673"/>
      <c r="AC115" s="656"/>
      <c r="AD115" s="675"/>
      <c r="AE115" s="676"/>
      <c r="AF115" s="676"/>
      <c r="AG115" s="440"/>
      <c r="AH115" s="440"/>
      <c r="AI115" s="440"/>
      <c r="AJ115" s="652"/>
      <c r="AK115" s="677"/>
      <c r="AL115" s="675"/>
      <c r="AM115" s="675"/>
      <c r="AN115" s="676"/>
      <c r="AO115" s="676"/>
      <c r="AP115" s="440"/>
      <c r="AQ115" s="677"/>
    </row>
    <row r="116" spans="1:43" x14ac:dyDescent="0.25">
      <c r="A116" s="659" t="s">
        <v>148</v>
      </c>
      <c r="B116" s="660"/>
      <c r="C116" s="683" t="s">
        <v>698</v>
      </c>
      <c r="D116" s="684" t="s">
        <v>698</v>
      </c>
      <c r="E116" s="684" t="s">
        <v>698</v>
      </c>
      <c r="F116" s="684" t="s">
        <v>698</v>
      </c>
      <c r="G116" s="684" t="s">
        <v>698</v>
      </c>
      <c r="H116" s="684" t="s">
        <v>698</v>
      </c>
      <c r="I116" s="684" t="s">
        <v>698</v>
      </c>
      <c r="J116" s="684" t="s">
        <v>698</v>
      </c>
      <c r="K116" s="684" t="s">
        <v>698</v>
      </c>
      <c r="L116" s="684" t="s">
        <v>698</v>
      </c>
      <c r="M116" s="684" t="s">
        <v>698</v>
      </c>
      <c r="N116" s="685" t="s">
        <v>698</v>
      </c>
      <c r="O116" s="684" t="s">
        <v>698</v>
      </c>
      <c r="P116" s="684" t="s">
        <v>698</v>
      </c>
      <c r="Q116" s="684" t="s">
        <v>698</v>
      </c>
      <c r="R116" s="684" t="s">
        <v>698</v>
      </c>
      <c r="S116" s="684" t="s">
        <v>698</v>
      </c>
      <c r="T116" s="684" t="s">
        <v>698</v>
      </c>
      <c r="U116" s="684" t="s">
        <v>698</v>
      </c>
      <c r="V116" s="684" t="s">
        <v>698</v>
      </c>
      <c r="W116" s="684" t="s">
        <v>698</v>
      </c>
      <c r="X116" s="684" t="s">
        <v>698</v>
      </c>
      <c r="Y116" s="685" t="s">
        <v>698</v>
      </c>
      <c r="Z116" s="686"/>
      <c r="AA116" s="687"/>
      <c r="AB116" s="687"/>
      <c r="AC116" s="656"/>
      <c r="AD116" s="667">
        <v>620</v>
      </c>
      <c r="AE116" s="668">
        <v>766</v>
      </c>
      <c r="AF116" s="668">
        <v>880</v>
      </c>
      <c r="AG116" s="440">
        <f t="shared" si="0"/>
        <v>545600</v>
      </c>
      <c r="AH116" s="440">
        <f t="shared" ref="AH116" si="4">AE116*AF116+AC116</f>
        <v>674080</v>
      </c>
      <c r="AI116" s="440">
        <f t="shared" ref="AI116" si="5">AH116-AG116</f>
        <v>128480</v>
      </c>
      <c r="AJ116" s="652"/>
      <c r="AK116" s="689"/>
      <c r="AL116" s="667"/>
      <c r="AM116" s="667"/>
      <c r="AN116" s="668"/>
      <c r="AO116" s="668"/>
      <c r="AP116" s="440">
        <v>0</v>
      </c>
      <c r="AQ116" s="689"/>
    </row>
    <row r="117" spans="1:43" x14ac:dyDescent="0.25">
      <c r="A117" s="659"/>
      <c r="B117" s="660"/>
      <c r="C117" s="683"/>
      <c r="D117" s="684"/>
      <c r="E117" s="684"/>
      <c r="F117" s="684"/>
      <c r="G117" s="684"/>
      <c r="H117" s="684"/>
      <c r="I117" s="684"/>
      <c r="J117" s="684"/>
      <c r="K117" s="684"/>
      <c r="L117" s="684"/>
      <c r="M117" s="684"/>
      <c r="N117" s="685"/>
      <c r="O117" s="684"/>
      <c r="P117" s="684"/>
      <c r="Q117" s="684"/>
      <c r="R117" s="684"/>
      <c r="S117" s="684"/>
      <c r="T117" s="684"/>
      <c r="U117" s="684"/>
      <c r="V117" s="684"/>
      <c r="W117" s="684"/>
      <c r="X117" s="684"/>
      <c r="Y117" s="685"/>
      <c r="Z117" s="686"/>
      <c r="AA117" s="687"/>
      <c r="AB117" s="687"/>
      <c r="AC117" s="688"/>
      <c r="AD117" s="667"/>
      <c r="AE117" s="668"/>
      <c r="AF117" s="668"/>
      <c r="AG117" s="440"/>
      <c r="AH117" s="440"/>
      <c r="AI117" s="440"/>
      <c r="AJ117" s="652"/>
      <c r="AK117" s="689"/>
      <c r="AL117" s="667"/>
      <c r="AM117" s="667"/>
      <c r="AN117" s="668"/>
      <c r="AO117" s="668"/>
      <c r="AP117" s="440"/>
      <c r="AQ117" s="689"/>
    </row>
    <row r="118" spans="1:43" ht="24.6" thickBot="1" x14ac:dyDescent="0.3">
      <c r="A118" s="682" t="s">
        <v>496</v>
      </c>
      <c r="B118" s="682"/>
      <c r="C118" s="255" t="s">
        <v>698</v>
      </c>
      <c r="D118" s="256" t="s">
        <v>698</v>
      </c>
      <c r="E118" s="256" t="s">
        <v>698</v>
      </c>
      <c r="F118" s="256" t="s">
        <v>698</v>
      </c>
      <c r="G118" s="256" t="s">
        <v>698</v>
      </c>
      <c r="H118" s="256" t="s">
        <v>698</v>
      </c>
      <c r="I118" s="256" t="s">
        <v>698</v>
      </c>
      <c r="J118" s="256" t="s">
        <v>698</v>
      </c>
      <c r="K118" s="256" t="s">
        <v>698</v>
      </c>
      <c r="L118" s="256" t="s">
        <v>698</v>
      </c>
      <c r="M118" s="256" t="s">
        <v>698</v>
      </c>
      <c r="N118" s="257" t="s">
        <v>698</v>
      </c>
      <c r="O118" s="256" t="s">
        <v>698</v>
      </c>
      <c r="P118" s="256" t="s">
        <v>698</v>
      </c>
      <c r="Q118" s="256" t="s">
        <v>698</v>
      </c>
      <c r="R118" s="256" t="s">
        <v>698</v>
      </c>
      <c r="S118" s="256" t="s">
        <v>698</v>
      </c>
      <c r="T118" s="256" t="s">
        <v>698</v>
      </c>
      <c r="U118" s="256" t="s">
        <v>698</v>
      </c>
      <c r="V118" s="256" t="s">
        <v>698</v>
      </c>
      <c r="W118" s="256" t="s">
        <v>698</v>
      </c>
      <c r="X118" s="256" t="s">
        <v>698</v>
      </c>
      <c r="Y118" s="257" t="s">
        <v>698</v>
      </c>
      <c r="Z118" s="481"/>
      <c r="AA118" s="482"/>
      <c r="AB118" s="482"/>
      <c r="AC118" s="483"/>
      <c r="AD118" s="443">
        <v>72</v>
      </c>
      <c r="AE118" s="225">
        <v>84</v>
      </c>
      <c r="AF118" s="225">
        <v>880</v>
      </c>
      <c r="AG118" s="477">
        <f t="shared" si="0"/>
        <v>63360</v>
      </c>
      <c r="AH118" s="477">
        <f t="shared" si="1"/>
        <v>73920</v>
      </c>
      <c r="AI118" s="477">
        <f t="shared" si="2"/>
        <v>10560</v>
      </c>
      <c r="AJ118" s="653">
        <v>4000</v>
      </c>
      <c r="AK118" s="445"/>
      <c r="AL118" s="443"/>
      <c r="AM118" s="443"/>
      <c r="AN118" s="225"/>
      <c r="AO118" s="225"/>
      <c r="AP118" s="440">
        <f t="shared" si="3"/>
        <v>0</v>
      </c>
      <c r="AQ118" s="445"/>
    </row>
    <row r="119" spans="1:43" ht="12.6" thickBot="1" x14ac:dyDescent="0.3">
      <c r="A119" s="205" t="s">
        <v>149</v>
      </c>
      <c r="B119" s="122"/>
      <c r="C119" s="122"/>
      <c r="D119" s="122"/>
      <c r="E119" s="122"/>
      <c r="F119" s="122"/>
      <c r="G119" s="122"/>
      <c r="H119" s="122"/>
      <c r="I119" s="122"/>
      <c r="J119" s="122"/>
      <c r="K119" s="122"/>
      <c r="L119" s="122"/>
      <c r="M119" s="122"/>
      <c r="N119" s="122"/>
      <c r="O119" s="122"/>
      <c r="P119" s="122"/>
      <c r="Q119" s="122"/>
      <c r="R119" s="122"/>
      <c r="S119" s="122"/>
      <c r="T119" s="122"/>
      <c r="U119" s="122"/>
      <c r="V119" s="122"/>
      <c r="W119" s="122"/>
      <c r="X119" s="122"/>
      <c r="Y119" s="122"/>
      <c r="Z119" s="475"/>
      <c r="AA119" s="475"/>
      <c r="AB119" s="475"/>
      <c r="AC119" s="475">
        <f t="shared" ref="AC119:AI119" si="6">SUM(AC6:AC118)</f>
        <v>104400</v>
      </c>
      <c r="AD119" s="220">
        <f t="shared" si="6"/>
        <v>9710</v>
      </c>
      <c r="AE119" s="220">
        <f t="shared" si="6"/>
        <v>10591</v>
      </c>
      <c r="AF119" s="220">
        <f t="shared" si="6"/>
        <v>6160</v>
      </c>
      <c r="AG119" s="222">
        <f t="shared" si="6"/>
        <v>8588800</v>
      </c>
      <c r="AH119" s="222">
        <f t="shared" si="6"/>
        <v>9364080</v>
      </c>
      <c r="AI119" s="222">
        <f t="shared" si="6"/>
        <v>775280</v>
      </c>
      <c r="AJ119" s="222">
        <f>SUM(AJ6:AJ118)</f>
        <v>1242094</v>
      </c>
      <c r="AK119" s="236"/>
      <c r="AL119" s="220"/>
      <c r="AM119" s="220">
        <f>SUM(AM6:AM118)</f>
        <v>0</v>
      </c>
      <c r="AN119" s="220">
        <f>SUM(AN6:AN118)</f>
        <v>0</v>
      </c>
      <c r="AO119" s="220">
        <f>SUM(AO6:AO118)</f>
        <v>0</v>
      </c>
      <c r="AP119" s="222">
        <f>SUM(AP6:AP118)</f>
        <v>0</v>
      </c>
      <c r="AQ119" s="222"/>
    </row>
    <row r="120" spans="1:43" x14ac:dyDescent="0.25">
      <c r="AC120" s="116" t="s">
        <v>704</v>
      </c>
      <c r="AD120" s="116">
        <f>AVERAGE(AD119:AE119)</f>
        <v>10150.5</v>
      </c>
    </row>
    <row r="122" spans="1:43" ht="15.6" x14ac:dyDescent="0.3">
      <c r="AG122" s="123"/>
    </row>
  </sheetData>
  <mergeCells count="7">
    <mergeCell ref="AQ4:AQ5"/>
    <mergeCell ref="A1:B1"/>
    <mergeCell ref="C1:AQ1"/>
    <mergeCell ref="Z2:AK2"/>
    <mergeCell ref="AL2:AQ2"/>
    <mergeCell ref="Z3:AC3"/>
    <mergeCell ref="AD3:AK3"/>
  </mergeCells>
  <conditionalFormatting sqref="C6:AC71 C117:AC118 C72:AB116">
    <cfRule type="colorScale" priority="2">
      <colorScale>
        <cfvo type="num" val="0"/>
        <cfvo type="num" val="1"/>
        <color theme="0"/>
        <color theme="2" tint="-0.249977111117893"/>
      </colorScale>
    </cfRule>
  </conditionalFormatting>
  <conditionalFormatting sqref="AC72:AC116">
    <cfRule type="colorScale" priority="1">
      <colorScale>
        <cfvo type="num" val="0"/>
        <cfvo type="num" val="1"/>
        <color theme="0"/>
        <color theme="2" tint="-0.249977111117893"/>
      </colorScale>
    </cfRule>
  </conditionalFormatting>
  <pageMargins left="0.7" right="0.7" top="0.75" bottom="0.75" header="0.3" footer="0.3"/>
  <pageSetup paperSize="9" scale="1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23B1D521B54EA46B749A7FD0C77D6C5" ma:contentTypeVersion="13" ma:contentTypeDescription="Create a new document." ma:contentTypeScope="" ma:versionID="efcee08eb189638c12eb185dca03eea3">
  <xsd:schema xmlns:xsd="http://www.w3.org/2001/XMLSchema" xmlns:xs="http://www.w3.org/2001/XMLSchema" xmlns:p="http://schemas.microsoft.com/office/2006/metadata/properties" xmlns:ns2="2dbeb313-0744-4d88-97cc-13ecb0bda1da" xmlns:ns3="51a794a4-9683-447d-ab1a-dbfdb3be3011" targetNamespace="http://schemas.microsoft.com/office/2006/metadata/properties" ma:root="true" ma:fieldsID="1acb57156edc124865f1e03a7c810256" ns2:_="" ns3:_="">
    <xsd:import namespace="2dbeb313-0744-4d88-97cc-13ecb0bda1da"/>
    <xsd:import namespace="51a794a4-9683-447d-ab1a-dbfdb3be30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LengthInSecond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beb313-0744-4d88-97cc-13ecb0bda1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a91f66c2-d67f-44f1-876b-5c82e43b6e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a794a4-9683-447d-ab1a-dbfdb3be301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55b0fd29-63a7-4e09-a7e2-c67bcf9725ce}" ma:internalName="TaxCatchAll" ma:showField="CatchAllData" ma:web="51a794a4-9683-447d-ab1a-dbfdb3be30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dbeb313-0744-4d88-97cc-13ecb0bda1da">
      <Terms xmlns="http://schemas.microsoft.com/office/infopath/2007/PartnerControls"/>
    </lcf76f155ced4ddcb4097134ff3c332f>
    <TaxCatchAll xmlns="51a794a4-9683-447d-ab1a-dbfdb3be3011" xsi:nil="true"/>
  </documentManagement>
</p:properties>
</file>

<file path=customXml/itemProps1.xml><?xml version="1.0" encoding="utf-8"?>
<ds:datastoreItem xmlns:ds="http://schemas.openxmlformats.org/officeDocument/2006/customXml" ds:itemID="{3FE43F8E-9EF4-40D6-8B17-5E2B72BC2A8C}"/>
</file>

<file path=customXml/itemProps2.xml><?xml version="1.0" encoding="utf-8"?>
<ds:datastoreItem xmlns:ds="http://schemas.openxmlformats.org/officeDocument/2006/customXml" ds:itemID="{05F23A1E-E122-4AC6-A95A-1B2FAC254729}"/>
</file>

<file path=customXml/itemProps3.xml><?xml version="1.0" encoding="utf-8"?>
<ds:datastoreItem xmlns:ds="http://schemas.openxmlformats.org/officeDocument/2006/customXml" ds:itemID="{C3896992-8C9E-4838-9B00-566649892B7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29</vt:i4>
      </vt:variant>
    </vt:vector>
  </HeadingPairs>
  <TitlesOfParts>
    <vt:vector size="29" baseType="lpstr">
      <vt:lpstr>Úvod</vt:lpstr>
      <vt:lpstr>Zoznam hárkov</vt:lpstr>
      <vt:lpstr>Sumarizácia</vt:lpstr>
      <vt:lpstr>CBA - Agendové IS</vt:lpstr>
      <vt:lpstr>Návratnosť v rokoch</vt:lpstr>
      <vt:lpstr>Analyza citlivosti - AgendovéIS</vt:lpstr>
      <vt:lpstr>Prínosy - Agendové IS</vt:lpstr>
      <vt:lpstr>Výdavky - Agendové IS</vt:lpstr>
      <vt:lpstr>Parametre - Agendové IS</vt:lpstr>
      <vt:lpstr>TCO</vt:lpstr>
      <vt:lpstr>TCO AS IS - SW</vt:lpstr>
      <vt:lpstr>TCO AS IS - HW</vt:lpstr>
      <vt:lpstr>TCO TO BE- SW</vt:lpstr>
      <vt:lpstr>TCO TO BE - HW</vt:lpstr>
      <vt:lpstr>Rozpočet - vývoj Aplikácií</vt:lpstr>
      <vt:lpstr>Rozpočet - HW a licencie</vt:lpstr>
      <vt:lpstr>Faktory</vt:lpstr>
      <vt:lpstr>Procesné mapy</vt:lpstr>
      <vt:lpstr>Procesy - AS IS</vt:lpstr>
      <vt:lpstr>Procesy - ∆</vt:lpstr>
      <vt:lpstr>Procesy - TO BE</vt:lpstr>
      <vt:lpstr>Štatistika meraní</vt:lpstr>
      <vt:lpstr>Optimalizačné opatrenia</vt:lpstr>
      <vt:lpstr>Rozdelenie prínosov</vt:lpstr>
      <vt:lpstr>Počet inšpektorov</vt:lpstr>
      <vt:lpstr>Slepý rozpočet</vt:lpstr>
      <vt:lpstr>Indik_rozp.-ALFABASE</vt:lpstr>
      <vt:lpstr>Indik_rozp.YMS</vt:lpstr>
      <vt:lpstr>Indik_rozp.-ASPECTA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Krok Martin</dc:creator>
  <dc:description>Vratane modulov</dc:description>
  <cp:lastModifiedBy>VLK</cp:lastModifiedBy>
  <cp:lastPrinted>2018-11-17T08:29:00Z</cp:lastPrinted>
  <dcterms:created xsi:type="dcterms:W3CDTF">2015-01-29T13:50:20Z</dcterms:created>
  <dcterms:modified xsi:type="dcterms:W3CDTF">2019-02-11T10:02:13Z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0x010100C23B1D521B54EA46B749A7FD0C77D6C5</vt:lpwstr>
  </property>
</Properties>
</file>